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defaultThemeVersion="124226"/>
  <xr:revisionPtr revIDLastSave="0" documentId="8_{73EEC3D0-6FE5-447F-AC18-255914B19C86}" xr6:coauthVersionLast="36" xr6:coauthVersionMax="36" xr10:uidLastSave="{00000000-0000-0000-0000-000000000000}"/>
  <bookViews>
    <workbookView xWindow="0" yWindow="0" windowWidth="21600" windowHeight="9525" tabRatio="601"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details'!$A$1:$H$121</definedName>
    <definedName name="_xlnm.Print_Area" localSheetId="11">'11.F&amp;V Crop Production details'!$A$1:$H$133</definedName>
    <definedName name="_xlnm.Print_Area" localSheetId="12">'12.Facility 1 - Trading'!$A$1:$J$316</definedName>
    <definedName name="_xlnm.Print_Area" localSheetId="13">'13.Facility 2 Grain Processing'!$A$3:$J$191</definedName>
    <definedName name="_xlnm.Print_Area" localSheetId="14">'14. Facility 3 Warehouse'!$A$1:$J$59</definedName>
    <definedName name="_xlnm.Print_Area" localSheetId="15">'15. Facility 4 Custom Hiring'!$A$1:$M$80</definedName>
    <definedName name="_xlnm.Print_Area" localSheetId="16">'16.Facility 5 Agri Input'!$A$1:$J$280</definedName>
    <definedName name="_xlnm.Print_Area" localSheetId="17">'17.Facility 6 Horti Processing '!$A$1:$J$197</definedName>
    <definedName name="_xlnm.Print_Area" localSheetId="2">'2.Capex Details'!$A$1:$H$123</definedName>
    <definedName name="_xlnm.Print_Area" localSheetId="3">'3.Other Exp &amp; Taxes'!$A$1:$Q$105</definedName>
    <definedName name="_xlnm.Print_Area" localSheetId="4">'4.TL repayment sch'!$A$1:$H$99</definedName>
    <definedName name="_xlnm.Print_Area" localSheetId="5">'5.Closing Stock &amp; W Capital'!$A$1:$L$64</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indiacators'!$B$1:$J$183</definedName>
  </definedNames>
  <calcPr calcId="191029"/>
</workbook>
</file>

<file path=xl/calcChain.xml><?xml version="1.0" encoding="utf-8"?>
<calcChain xmlns="http://schemas.openxmlformats.org/spreadsheetml/2006/main">
  <c r="G63" i="57" l="1"/>
  <c r="G67" i="57" s="1"/>
  <c r="G64" i="57"/>
  <c r="G65" i="57"/>
  <c r="G66" i="57"/>
  <c r="H67" i="57"/>
  <c r="F80" i="57"/>
  <c r="F92" i="57"/>
  <c r="F81" i="57"/>
  <c r="F82" i="57"/>
  <c r="K44" i="48" l="1"/>
  <c r="J44" i="48"/>
  <c r="I44" i="48"/>
  <c r="G44" i="48"/>
  <c r="F44" i="48"/>
  <c r="D44" i="48"/>
  <c r="K43" i="48"/>
  <c r="J43" i="48"/>
  <c r="I43" i="48"/>
  <c r="G43" i="48"/>
  <c r="F43" i="48"/>
  <c r="D43" i="48"/>
  <c r="K42" i="48"/>
  <c r="J42" i="48"/>
  <c r="I42" i="48"/>
  <c r="G42" i="48"/>
  <c r="F42" i="48"/>
  <c r="D42" i="48"/>
  <c r="K41" i="48"/>
  <c r="J41" i="48"/>
  <c r="I41" i="48"/>
  <c r="H41" i="48"/>
  <c r="G41" i="48"/>
  <c r="F41" i="48"/>
  <c r="D41" i="48"/>
  <c r="L21" i="48"/>
  <c r="K21" i="48"/>
  <c r="I21" i="48"/>
  <c r="G21" i="48"/>
  <c r="M20" i="48"/>
  <c r="H44" i="48" s="1"/>
  <c r="M19" i="48"/>
  <c r="H43" i="48" s="1"/>
  <c r="M18" i="48"/>
  <c r="H42" i="48" s="1"/>
  <c r="M17" i="48"/>
  <c r="F20" i="48"/>
  <c r="H20" i="48" s="1"/>
  <c r="J20" i="48" s="1"/>
  <c r="E44" i="48" s="1"/>
  <c r="F19" i="48"/>
  <c r="H19" i="48" s="1"/>
  <c r="J19" i="48" s="1"/>
  <c r="E43" i="48" s="1"/>
  <c r="F18" i="48"/>
  <c r="H18" i="48" s="1"/>
  <c r="J18" i="48" s="1"/>
  <c r="E42" i="48" s="1"/>
  <c r="F17" i="48"/>
  <c r="H17" i="48" s="1"/>
  <c r="J17" i="48" s="1"/>
  <c r="E41" i="48" s="1"/>
  <c r="G33" i="57"/>
  <c r="G31" i="57"/>
  <c r="G30" i="57"/>
  <c r="G29" i="57"/>
  <c r="G28" i="57"/>
  <c r="G24" i="57"/>
  <c r="C42" i="48" l="1"/>
  <c r="C44" i="48"/>
  <c r="C41" i="48"/>
  <c r="C43" i="48"/>
  <c r="G51" i="57"/>
  <c r="G41" i="57" l="1"/>
  <c r="G35" i="57"/>
  <c r="G34" i="57"/>
  <c r="G32" i="57"/>
  <c r="G27" i="57"/>
  <c r="C90" i="81" l="1"/>
  <c r="D90" i="81" s="1"/>
  <c r="E90" i="81" s="1"/>
  <c r="F90" i="81" s="1"/>
  <c r="G90" i="81" s="1"/>
  <c r="H90" i="81" s="1"/>
  <c r="G50" i="57"/>
  <c r="G49" i="57"/>
  <c r="B7" i="81" l="1"/>
  <c r="B9" i="81" s="1"/>
  <c r="D22" i="81" s="1"/>
  <c r="F22" i="81" s="1"/>
  <c r="C31" i="53"/>
  <c r="C84" i="53" s="1"/>
  <c r="D152" i="53" s="1"/>
  <c r="H22" i="81"/>
  <c r="B32" i="55"/>
  <c r="E22" i="22"/>
  <c r="E21" i="22"/>
  <c r="E20" i="22"/>
  <c r="E19" i="22"/>
  <c r="E18" i="22"/>
  <c r="E17" i="22"/>
  <c r="E16" i="22"/>
  <c r="B9" i="68"/>
  <c r="H44" i="57"/>
  <c r="B158" i="72" s="1"/>
  <c r="O11" i="61" s="1"/>
  <c r="P11" i="61" s="1"/>
  <c r="Q11" i="61" s="1"/>
  <c r="R11" i="61" s="1"/>
  <c r="G6" i="57"/>
  <c r="G7" i="57"/>
  <c r="G8" i="57"/>
  <c r="G9" i="57"/>
  <c r="G10" i="57"/>
  <c r="G11" i="57"/>
  <c r="G21" i="57"/>
  <c r="G22" i="57"/>
  <c r="G23" i="57"/>
  <c r="G25" i="57"/>
  <c r="G26" i="57"/>
  <c r="G42" i="57"/>
  <c r="G43" i="57"/>
  <c r="G46" i="57"/>
  <c r="G47" i="57"/>
  <c r="G48" i="57"/>
  <c r="G58" i="57"/>
  <c r="G59" i="57"/>
  <c r="G60" i="57"/>
  <c r="F78" i="57"/>
  <c r="F79" i="57"/>
  <c r="F83" i="57"/>
  <c r="F93" i="57"/>
  <c r="F94" i="57"/>
  <c r="F95" i="57"/>
  <c r="F96" i="57"/>
  <c r="F97" i="57"/>
  <c r="F106" i="57"/>
  <c r="F107" i="57"/>
  <c r="F108" i="57"/>
  <c r="D121" i="57"/>
  <c r="D10" i="62" s="1"/>
  <c r="B34" i="72"/>
  <c r="H61" i="57"/>
  <c r="B63" i="55"/>
  <c r="B7" i="83"/>
  <c r="B9" i="83" s="1"/>
  <c r="D255" i="55"/>
  <c r="D279" i="55"/>
  <c r="D280" i="55"/>
  <c r="B166" i="84"/>
  <c r="V11" i="61" s="1"/>
  <c r="B41" i="84"/>
  <c r="B113" i="81"/>
  <c r="C30" i="53" s="1"/>
  <c r="C83" i="53" s="1"/>
  <c r="D205" i="53"/>
  <c r="D214" i="53"/>
  <c r="D243" i="53"/>
  <c r="C182" i="53"/>
  <c r="B162" i="55"/>
  <c r="D221" i="55" s="1"/>
  <c r="B163" i="55"/>
  <c r="D222" i="55" s="1"/>
  <c r="B164" i="55"/>
  <c r="D223" i="55" s="1"/>
  <c r="C139" i="72"/>
  <c r="C140" i="72"/>
  <c r="C141" i="72"/>
  <c r="C142" i="72"/>
  <c r="D21" i="42"/>
  <c r="D23" i="42" s="1"/>
  <c r="F8" i="48"/>
  <c r="H8" i="48" s="1"/>
  <c r="D32" i="48"/>
  <c r="F9" i="48"/>
  <c r="D33" i="48"/>
  <c r="F10" i="48"/>
  <c r="H10" i="48" s="1"/>
  <c r="D34" i="48"/>
  <c r="F11" i="48"/>
  <c r="H11" i="48" s="1"/>
  <c r="D35" i="48"/>
  <c r="F12" i="48"/>
  <c r="H12" i="48" s="1"/>
  <c r="D36" i="48"/>
  <c r="D37" i="48"/>
  <c r="D38" i="48"/>
  <c r="D39" i="48"/>
  <c r="D40" i="48"/>
  <c r="C48" i="48"/>
  <c r="D48" i="48"/>
  <c r="D27" i="42"/>
  <c r="D28" i="42"/>
  <c r="C29" i="42"/>
  <c r="D29" i="42" s="1"/>
  <c r="M8" i="48"/>
  <c r="M9" i="48"/>
  <c r="M10" i="48"/>
  <c r="M11" i="48"/>
  <c r="M12" i="48"/>
  <c r="M13" i="48"/>
  <c r="M14" i="48"/>
  <c r="M15" i="48"/>
  <c r="M16" i="48"/>
  <c r="E8" i="22"/>
  <c r="E9" i="22"/>
  <c r="E10" i="22"/>
  <c r="E11" i="22"/>
  <c r="E12" i="22"/>
  <c r="E13" i="22"/>
  <c r="E14" i="22"/>
  <c r="E15" i="22"/>
  <c r="D294" i="55"/>
  <c r="D301" i="55" s="1"/>
  <c r="B28" i="21" s="1"/>
  <c r="D172" i="72"/>
  <c r="D177" i="72" s="1"/>
  <c r="B29" i="21" s="1"/>
  <c r="D37" i="42"/>
  <c r="D43" i="42" s="1"/>
  <c r="B30" i="21" s="1"/>
  <c r="E62" i="48"/>
  <c r="E66" i="48" s="1"/>
  <c r="B31" i="21" s="1"/>
  <c r="D180" i="84"/>
  <c r="D181" i="84"/>
  <c r="D265" i="53"/>
  <c r="D266" i="53"/>
  <c r="D267" i="53"/>
  <c r="D268" i="53"/>
  <c r="C10" i="62"/>
  <c r="C9" i="62"/>
  <c r="C8" i="62"/>
  <c r="C7" i="62"/>
  <c r="C6" i="62"/>
  <c r="C5" i="62"/>
  <c r="C40" i="81"/>
  <c r="D40" i="81" s="1"/>
  <c r="E40" i="81" s="1"/>
  <c r="F40" i="81" s="1"/>
  <c r="G40" i="81" s="1"/>
  <c r="H40" i="81" s="1"/>
  <c r="H63" i="55"/>
  <c r="E172" i="55"/>
  <c r="F172" i="55" s="1"/>
  <c r="H32" i="55"/>
  <c r="H89" i="55"/>
  <c r="H141" i="55" s="1"/>
  <c r="C44" i="83"/>
  <c r="D44" i="83" s="1"/>
  <c r="E44" i="83" s="1"/>
  <c r="F44" i="83" s="1"/>
  <c r="G44" i="83" s="1"/>
  <c r="H44" i="83" s="1"/>
  <c r="G63" i="55"/>
  <c r="G32" i="55"/>
  <c r="F63" i="55"/>
  <c r="F32" i="55"/>
  <c r="E63" i="55"/>
  <c r="E32" i="55"/>
  <c r="D63" i="55"/>
  <c r="D32" i="55"/>
  <c r="C63" i="55"/>
  <c r="C32" i="55"/>
  <c r="C89" i="55" s="1"/>
  <c r="E254" i="55" s="1"/>
  <c r="E255" i="55"/>
  <c r="E280" i="55"/>
  <c r="C72" i="83"/>
  <c r="D72" i="83"/>
  <c r="E72" i="83" s="1"/>
  <c r="F72" i="83" s="1"/>
  <c r="G72" i="83" s="1"/>
  <c r="H72" i="83" s="1"/>
  <c r="E149" i="84"/>
  <c r="K12" i="83"/>
  <c r="L12" i="83" s="1"/>
  <c r="M12" i="83" s="1"/>
  <c r="N12" i="83" s="1"/>
  <c r="H31" i="84"/>
  <c r="H32" i="84"/>
  <c r="H33" i="84"/>
  <c r="C74" i="83"/>
  <c r="C13" i="84"/>
  <c r="C65" i="81"/>
  <c r="D65" i="81" s="1"/>
  <c r="E65" i="81" s="1"/>
  <c r="F65" i="81" s="1"/>
  <c r="G65" i="81" s="1"/>
  <c r="H65" i="81" s="1"/>
  <c r="C33" i="72"/>
  <c r="D33" i="72" s="1"/>
  <c r="E133" i="72"/>
  <c r="F133" i="72" s="1"/>
  <c r="G133" i="72" s="1"/>
  <c r="C34" i="72"/>
  <c r="F4" i="22"/>
  <c r="G4" i="22" s="1"/>
  <c r="E124" i="53"/>
  <c r="F124" i="53" s="1"/>
  <c r="I31" i="53"/>
  <c r="I84" i="53" s="1"/>
  <c r="C100" i="83"/>
  <c r="D100" i="83" s="1"/>
  <c r="E100" i="83" s="1"/>
  <c r="F100" i="83" s="1"/>
  <c r="G100" i="83" s="1"/>
  <c r="H100" i="83" s="1"/>
  <c r="H31" i="53"/>
  <c r="H84" i="53" s="1"/>
  <c r="G31" i="53"/>
  <c r="G84" i="53" s="1"/>
  <c r="F31" i="53"/>
  <c r="F84" i="53" s="1"/>
  <c r="E31" i="53"/>
  <c r="E84" i="53" s="1"/>
  <c r="F219" i="53" s="1"/>
  <c r="D31" i="53"/>
  <c r="D84" i="53" s="1"/>
  <c r="E205" i="53"/>
  <c r="E243" i="53"/>
  <c r="F27" i="48"/>
  <c r="F62" i="48" s="1"/>
  <c r="F66" i="48" s="1"/>
  <c r="C31" i="21" s="1"/>
  <c r="E17" i="42"/>
  <c r="E29" i="42" s="1"/>
  <c r="E27" i="42"/>
  <c r="C162" i="55"/>
  <c r="C163" i="55"/>
  <c r="E222" i="55" s="1"/>
  <c r="C164" i="55"/>
  <c r="E152" i="53"/>
  <c r="C9" i="42"/>
  <c r="D9" i="42" s="1"/>
  <c r="E21" i="42"/>
  <c r="E23" i="42" s="1"/>
  <c r="D162" i="55"/>
  <c r="D163" i="55"/>
  <c r="D164" i="55"/>
  <c r="E162" i="55"/>
  <c r="E163" i="55"/>
  <c r="E164" i="55"/>
  <c r="E9" i="42"/>
  <c r="F162" i="55"/>
  <c r="F163" i="55"/>
  <c r="F164" i="55"/>
  <c r="G162" i="55"/>
  <c r="G163" i="55"/>
  <c r="G164" i="55"/>
  <c r="H162" i="55"/>
  <c r="H163" i="55"/>
  <c r="H164" i="55"/>
  <c r="A42" i="81"/>
  <c r="A67" i="81" s="1"/>
  <c r="A92" i="81" s="1"/>
  <c r="A9" i="53" s="1"/>
  <c r="A67" i="83"/>
  <c r="A95" i="83" s="1"/>
  <c r="A66" i="83"/>
  <c r="A94" i="83" s="1"/>
  <c r="A65" i="83"/>
  <c r="A93" i="83" s="1"/>
  <c r="A64" i="83"/>
  <c r="A92" i="83" s="1"/>
  <c r="A120" i="83" s="1"/>
  <c r="A51" i="53" s="1"/>
  <c r="C9" i="61"/>
  <c r="C17" i="61"/>
  <c r="V8" i="61"/>
  <c r="V9" i="61"/>
  <c r="V10" i="61"/>
  <c r="V12" i="61"/>
  <c r="V13" i="61"/>
  <c r="U13" i="61"/>
  <c r="U12" i="61"/>
  <c r="U10" i="61"/>
  <c r="U11" i="61"/>
  <c r="U9" i="61"/>
  <c r="O13" i="61"/>
  <c r="P13" i="61" s="1"/>
  <c r="N13" i="61"/>
  <c r="O12" i="61"/>
  <c r="P12" i="61" s="1"/>
  <c r="Q12" i="61" s="1"/>
  <c r="R12" i="61" s="1"/>
  <c r="N12" i="61"/>
  <c r="N11" i="61"/>
  <c r="N10" i="61"/>
  <c r="O10" i="61"/>
  <c r="P10" i="61" s="1"/>
  <c r="O9" i="61"/>
  <c r="P9" i="61" s="1"/>
  <c r="Q9" i="61" s="1"/>
  <c r="R9" i="61" s="1"/>
  <c r="N9" i="61"/>
  <c r="R8" i="61"/>
  <c r="Q8" i="61"/>
  <c r="P8" i="61"/>
  <c r="O8" i="61"/>
  <c r="Q13" i="61"/>
  <c r="R13" i="61" s="1"/>
  <c r="C15" i="61"/>
  <c r="C16" i="61"/>
  <c r="I173" i="29"/>
  <c r="H173" i="29"/>
  <c r="G173" i="29"/>
  <c r="F173" i="29"/>
  <c r="E173" i="29"/>
  <c r="D173" i="29"/>
  <c r="C173" i="29"/>
  <c r="B128" i="29"/>
  <c r="B143" i="29" s="1"/>
  <c r="B158" i="29"/>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25" i="29"/>
  <c r="B140" i="29" s="1"/>
  <c r="B124" i="29"/>
  <c r="B139" i="29" s="1"/>
  <c r="B154" i="29" s="1"/>
  <c r="B169" i="29" s="1"/>
  <c r="B123" i="29"/>
  <c r="B122" i="29"/>
  <c r="B34" i="29"/>
  <c r="B33" i="29"/>
  <c r="B32" i="29"/>
  <c r="B31" i="29"/>
  <c r="B30" i="29"/>
  <c r="B29" i="29"/>
  <c r="C52" i="61"/>
  <c r="C51" i="61"/>
  <c r="C50" i="61"/>
  <c r="C49" i="61"/>
  <c r="C48" i="61"/>
  <c r="C47" i="61"/>
  <c r="E180" i="84"/>
  <c r="A23" i="21"/>
  <c r="A33" i="21" s="1"/>
  <c r="A156" i="84"/>
  <c r="A155" i="84"/>
  <c r="A154" i="84"/>
  <c r="A31" i="84"/>
  <c r="A54" i="55"/>
  <c r="A111" i="55" s="1"/>
  <c r="A163" i="55" s="1"/>
  <c r="A222" i="55" s="1"/>
  <c r="A53" i="55"/>
  <c r="A110" i="55" s="1"/>
  <c r="A162" i="55" s="1"/>
  <c r="A221" i="55" s="1"/>
  <c r="A179" i="53"/>
  <c r="A243" i="53" s="1"/>
  <c r="A70" i="83"/>
  <c r="A59" i="55" s="1"/>
  <c r="A116" i="55" s="1"/>
  <c r="A168" i="55" s="1"/>
  <c r="A227" i="55" s="1"/>
  <c r="A278" i="55" s="1"/>
  <c r="A69" i="83"/>
  <c r="A97" i="83" s="1"/>
  <c r="A36" i="84" s="1"/>
  <c r="A64" i="84" s="1"/>
  <c r="A131" i="84" s="1"/>
  <c r="A68" i="83"/>
  <c r="A96" i="83" s="1"/>
  <c r="A63" i="83"/>
  <c r="A91" i="83" s="1"/>
  <c r="A62" i="83"/>
  <c r="A61" i="83"/>
  <c r="A89" i="83" s="1"/>
  <c r="A28" i="84" s="1"/>
  <c r="A59" i="84" s="1"/>
  <c r="A120" i="84" s="1"/>
  <c r="A60" i="83"/>
  <c r="A59" i="83"/>
  <c r="A87" i="83" s="1"/>
  <c r="A58" i="83"/>
  <c r="A57" i="83"/>
  <c r="A85" i="83"/>
  <c r="A24" i="84" s="1"/>
  <c r="A55" i="84" s="1"/>
  <c r="A110" i="84" s="1"/>
  <c r="A56" i="83"/>
  <c r="A84" i="83" s="1"/>
  <c r="A112" i="83" s="1"/>
  <c r="A43" i="53" s="1"/>
  <c r="A55" i="83"/>
  <c r="A83" i="83" s="1"/>
  <c r="A22" i="84" s="1"/>
  <c r="A53" i="84" s="1"/>
  <c r="A102" i="84" s="1"/>
  <c r="A54" i="83"/>
  <c r="A53" i="83"/>
  <c r="A81" i="83" s="1"/>
  <c r="A52" i="83"/>
  <c r="A80" i="83" s="1"/>
  <c r="A108" i="83" s="1"/>
  <c r="A39" i="53" s="1"/>
  <c r="A51" i="83"/>
  <c r="A79" i="83"/>
  <c r="A50" i="83"/>
  <c r="A49" i="83"/>
  <c r="A77" i="83" s="1"/>
  <c r="A48" i="83"/>
  <c r="A76" i="83" s="1"/>
  <c r="A104" i="83" s="1"/>
  <c r="A35" i="53"/>
  <c r="A156" i="53" s="1"/>
  <c r="A223" i="53" s="1"/>
  <c r="A47" i="83"/>
  <c r="A75" i="83" s="1"/>
  <c r="A46" i="83"/>
  <c r="A32" i="53"/>
  <c r="A153" i="53"/>
  <c r="A220" i="53" s="1"/>
  <c r="A88" i="53"/>
  <c r="A31" i="53"/>
  <c r="A62" i="81"/>
  <c r="A31" i="55" s="1"/>
  <c r="A87" i="81"/>
  <c r="A112" i="81" s="1"/>
  <c r="A30" i="53" s="1"/>
  <c r="A151" i="53" s="1"/>
  <c r="A218" i="53" s="1"/>
  <c r="A61" i="81"/>
  <c r="A60" i="81"/>
  <c r="A85" i="81" s="1"/>
  <c r="A110" i="81" s="1"/>
  <c r="A28" i="53" s="1"/>
  <c r="A43" i="81"/>
  <c r="A68" i="81" s="1"/>
  <c r="A14" i="72" s="1"/>
  <c r="A38" i="72" s="1"/>
  <c r="A62" i="72" s="1"/>
  <c r="A34" i="55"/>
  <c r="A36" i="55"/>
  <c r="A37" i="55"/>
  <c r="A94" i="55" s="1"/>
  <c r="A146" i="55" s="1"/>
  <c r="A205" i="55" s="1"/>
  <c r="A259" i="55" s="1"/>
  <c r="A40" i="55"/>
  <c r="A42" i="55"/>
  <c r="A44" i="55"/>
  <c r="A101" i="55" s="1"/>
  <c r="A153" i="55" s="1"/>
  <c r="A212" i="55" s="1"/>
  <c r="A266" i="55" s="1"/>
  <c r="A46" i="55"/>
  <c r="A48" i="55"/>
  <c r="A50" i="55"/>
  <c r="A107" i="55" s="1"/>
  <c r="A159" i="55" s="1"/>
  <c r="A218" i="55" s="1"/>
  <c r="A272" i="55" s="1"/>
  <c r="A57" i="55"/>
  <c r="A279" i="55"/>
  <c r="A280" i="55"/>
  <c r="A114" i="55"/>
  <c r="A166" i="55" s="1"/>
  <c r="A225" i="55" s="1"/>
  <c r="A276" i="55" s="1"/>
  <c r="A105" i="55"/>
  <c r="A157" i="55" s="1"/>
  <c r="A216" i="55" s="1"/>
  <c r="A270" i="55" s="1"/>
  <c r="A103" i="55"/>
  <c r="A155" i="55" s="1"/>
  <c r="A214" i="55" s="1"/>
  <c r="A268" i="55" s="1"/>
  <c r="A99" i="55"/>
  <c r="A151" i="55" s="1"/>
  <c r="A210" i="55" s="1"/>
  <c r="A264" i="55" s="1"/>
  <c r="A97" i="55"/>
  <c r="A149" i="55" s="1"/>
  <c r="A208" i="55" s="1"/>
  <c r="A262" i="55" s="1"/>
  <c r="A93" i="55"/>
  <c r="A145" i="55" s="1"/>
  <c r="A204" i="55" s="1"/>
  <c r="A258" i="55" s="1"/>
  <c r="A91" i="55"/>
  <c r="A143" i="55" s="1"/>
  <c r="A202" i="55" s="1"/>
  <c r="A256" i="55" s="1"/>
  <c r="A255" i="55"/>
  <c r="A254" i="55"/>
  <c r="A88" i="55"/>
  <c r="A140" i="55" s="1"/>
  <c r="A198" i="55" s="1"/>
  <c r="A253" i="55" s="1"/>
  <c r="A29" i="55"/>
  <c r="A86" i="55" s="1"/>
  <c r="A138" i="55" s="1"/>
  <c r="A196" i="55" s="1"/>
  <c r="A251" i="55" s="1"/>
  <c r="A59" i="81"/>
  <c r="A28" i="55" s="1"/>
  <c r="A85" i="55" s="1"/>
  <c r="A137" i="55" s="1"/>
  <c r="A195" i="55" s="1"/>
  <c r="A250" i="55" s="1"/>
  <c r="A23" i="84"/>
  <c r="A54" i="84" s="1"/>
  <c r="A106" i="84" s="1"/>
  <c r="A15" i="84"/>
  <c r="A46" i="84" s="1"/>
  <c r="A75" i="84" s="1"/>
  <c r="C40" i="84"/>
  <c r="C41" i="84" s="1"/>
  <c r="D40" i="84"/>
  <c r="E294" i="55"/>
  <c r="E301" i="55" s="1"/>
  <c r="C28" i="21" s="1"/>
  <c r="E172" i="72"/>
  <c r="E177" i="72" s="1"/>
  <c r="C29" i="21" s="1"/>
  <c r="E265" i="53"/>
  <c r="E267" i="53"/>
  <c r="E268" i="53"/>
  <c r="E37" i="42"/>
  <c r="E43" i="42" s="1"/>
  <c r="C30" i="21" s="1"/>
  <c r="G43" i="21"/>
  <c r="I94" i="29" s="1"/>
  <c r="H43" i="21"/>
  <c r="I58" i="29" s="1"/>
  <c r="H87" i="22"/>
  <c r="I87" i="22"/>
  <c r="A61" i="22"/>
  <c r="A62" i="22"/>
  <c r="A63" i="22"/>
  <c r="A64" i="22"/>
  <c r="B137" i="29"/>
  <c r="B152" i="29" s="1"/>
  <c r="B167" i="29" s="1"/>
  <c r="B138" i="29"/>
  <c r="B153" i="29" s="1"/>
  <c r="B168" i="29" s="1"/>
  <c r="B141" i="29"/>
  <c r="B156" i="29" s="1"/>
  <c r="B171" i="29" s="1"/>
  <c r="B155" i="29"/>
  <c r="B170" i="29" s="1"/>
  <c r="H39" i="57"/>
  <c r="C62" i="29"/>
  <c r="D62" i="29" s="1"/>
  <c r="E62" i="29" s="1"/>
  <c r="F62" i="29" s="1"/>
  <c r="G62" i="29" s="1"/>
  <c r="H62" i="29" s="1"/>
  <c r="I62" i="29" s="1"/>
  <c r="V12" i="83"/>
  <c r="W12" i="83" s="1"/>
  <c r="X12" i="83"/>
  <c r="P12" i="83"/>
  <c r="Q12" i="83" s="1"/>
  <c r="R12" i="83" s="1"/>
  <c r="S12" i="83" s="1"/>
  <c r="T12" i="83" s="1"/>
  <c r="K12" i="81"/>
  <c r="L12" i="81" s="1"/>
  <c r="M12" i="81" s="1"/>
  <c r="N12" i="81" s="1"/>
  <c r="A44" i="81"/>
  <c r="A69" i="81" s="1"/>
  <c r="F13" i="48"/>
  <c r="H13" i="48" s="1"/>
  <c r="C37" i="48" s="1"/>
  <c r="E37" i="48" s="1"/>
  <c r="F14" i="48"/>
  <c r="H14" i="48" s="1"/>
  <c r="C38" i="48" s="1"/>
  <c r="F15" i="48"/>
  <c r="H15" i="48" s="1"/>
  <c r="J15" i="48" s="1"/>
  <c r="F16" i="48"/>
  <c r="H16" i="48" s="1"/>
  <c r="C40" i="48" s="1"/>
  <c r="A152" i="53"/>
  <c r="A219" i="53" s="1"/>
  <c r="A84" i="81"/>
  <c r="A109" i="81" s="1"/>
  <c r="A27" i="53" s="1"/>
  <c r="A26" i="53"/>
  <c r="A147" i="53" s="1"/>
  <c r="A214" i="53" s="1"/>
  <c r="A58" i="81"/>
  <c r="A27" i="55" s="1"/>
  <c r="A84" i="55" s="1"/>
  <c r="A136" i="55" s="1"/>
  <c r="A194" i="55" s="1"/>
  <c r="A249" i="55" s="1"/>
  <c r="A57" i="81"/>
  <c r="A82" i="81"/>
  <c r="A107" i="81" s="1"/>
  <c r="A24" i="53" s="1"/>
  <c r="A56" i="81"/>
  <c r="A81" i="81" s="1"/>
  <c r="A55" i="81"/>
  <c r="A80" i="81" s="1"/>
  <c r="A54" i="81"/>
  <c r="A23" i="55" s="1"/>
  <c r="A53" i="81"/>
  <c r="A78" i="81" s="1"/>
  <c r="A103" i="81" s="1"/>
  <c r="A20" i="53" s="1"/>
  <c r="A52" i="81"/>
  <c r="A77" i="81" s="1"/>
  <c r="A51" i="81"/>
  <c r="A76" i="81"/>
  <c r="A101" i="81" s="1"/>
  <c r="A18" i="53" s="1"/>
  <c r="A139" i="53" s="1"/>
  <c r="A206" i="53" s="1"/>
  <c r="A138" i="53"/>
  <c r="A205" i="53"/>
  <c r="A49" i="81"/>
  <c r="A74" i="81"/>
  <c r="A99" i="81" s="1"/>
  <c r="A16" i="53" s="1"/>
  <c r="A48" i="81"/>
  <c r="A73" i="81" s="1"/>
  <c r="A47" i="81"/>
  <c r="A72" i="81" s="1"/>
  <c r="A46" i="81"/>
  <c r="A15" i="55" s="1"/>
  <c r="A71" i="81"/>
  <c r="A96" i="81" s="1"/>
  <c r="A13" i="53" s="1"/>
  <c r="A45" i="81"/>
  <c r="A14" i="55" s="1"/>
  <c r="A71" i="55" s="1"/>
  <c r="A123" i="55" s="1"/>
  <c r="A181" i="55" s="1"/>
  <c r="A236" i="55" s="1"/>
  <c r="A70" i="81"/>
  <c r="A95" i="81" s="1"/>
  <c r="A12" i="53" s="1"/>
  <c r="A129" i="53"/>
  <c r="A61" i="53"/>
  <c r="A85" i="53"/>
  <c r="A84" i="53"/>
  <c r="A70" i="53"/>
  <c r="A50" i="81"/>
  <c r="A19" i="55" s="1"/>
  <c r="A76" i="55" s="1"/>
  <c r="A128" i="55" s="1"/>
  <c r="A186" i="55" s="1"/>
  <c r="A241" i="55" s="1"/>
  <c r="A20" i="72"/>
  <c r="A44" i="72" s="1"/>
  <c r="A83" i="72" s="1"/>
  <c r="A121" i="72"/>
  <c r="A28" i="72"/>
  <c r="A52" i="72" s="1"/>
  <c r="A109" i="72" s="1"/>
  <c r="A22" i="72"/>
  <c r="A46" i="72" s="1"/>
  <c r="A91" i="72" s="1"/>
  <c r="A26" i="55"/>
  <c r="A83" i="55"/>
  <c r="A135" i="55" s="1"/>
  <c r="A193" i="55" s="1"/>
  <c r="A248" i="55" s="1"/>
  <c r="A24" i="55"/>
  <c r="A81" i="55" s="1"/>
  <c r="A133" i="55" s="1"/>
  <c r="A191" i="55" s="1"/>
  <c r="A246" i="55" s="1"/>
  <c r="A80" i="55"/>
  <c r="A132" i="55" s="1"/>
  <c r="A190" i="55" s="1"/>
  <c r="A245" i="55" s="1"/>
  <c r="A22" i="55"/>
  <c r="A79" i="55" s="1"/>
  <c r="A131" i="55" s="1"/>
  <c r="A189" i="55" s="1"/>
  <c r="A244" i="55" s="1"/>
  <c r="A20" i="55"/>
  <c r="A77" i="55" s="1"/>
  <c r="A129" i="55" s="1"/>
  <c r="A187" i="55" s="1"/>
  <c r="A242" i="55" s="1"/>
  <c r="A18" i="55"/>
  <c r="A75" i="55" s="1"/>
  <c r="A127" i="55" s="1"/>
  <c r="A185" i="55" s="1"/>
  <c r="A240" i="55" s="1"/>
  <c r="A17" i="55"/>
  <c r="A74" i="55" s="1"/>
  <c r="A126" i="55" s="1"/>
  <c r="A184" i="55" s="1"/>
  <c r="A239" i="55" s="1"/>
  <c r="A16" i="55"/>
  <c r="A73" i="55" s="1"/>
  <c r="A125" i="55" s="1"/>
  <c r="A183" i="55" s="1"/>
  <c r="A238" i="55" s="1"/>
  <c r="A72" i="55"/>
  <c r="A124" i="55" s="1"/>
  <c r="A182" i="55" s="1"/>
  <c r="A237" i="55" s="1"/>
  <c r="A11" i="55"/>
  <c r="A68" i="55" s="1"/>
  <c r="A120" i="55" s="1"/>
  <c r="A178" i="55" s="1"/>
  <c r="A233" i="55" s="1"/>
  <c r="A32" i="55"/>
  <c r="A89" i="55"/>
  <c r="A141" i="55" s="1"/>
  <c r="V12" i="81"/>
  <c r="W12" i="81" s="1"/>
  <c r="X12" i="81" s="1"/>
  <c r="P12" i="81"/>
  <c r="Q12" i="81" s="1"/>
  <c r="R12" i="81" s="1"/>
  <c r="S12" i="81" s="1"/>
  <c r="T12" i="81" s="1"/>
  <c r="J94" i="29"/>
  <c r="B95" i="29"/>
  <c r="B94" i="29"/>
  <c r="B93" i="29"/>
  <c r="B92" i="29"/>
  <c r="A20" i="21"/>
  <c r="A30" i="21"/>
  <c r="A19" i="21"/>
  <c r="A29" i="21" s="1"/>
  <c r="A18" i="21"/>
  <c r="A28" i="21" s="1"/>
  <c r="A21" i="21"/>
  <c r="A31" i="21" s="1"/>
  <c r="A22" i="21"/>
  <c r="A32" i="21" s="1"/>
  <c r="K145" i="72"/>
  <c r="H28" i="69"/>
  <c r="B16" i="68"/>
  <c r="B15" i="68"/>
  <c r="A251" i="53"/>
  <c r="A250" i="53"/>
  <c r="A249" i="53"/>
  <c r="A247" i="53"/>
  <c r="A246" i="53"/>
  <c r="A245" i="53"/>
  <c r="A244" i="53"/>
  <c r="A195" i="53"/>
  <c r="H27" i="69"/>
  <c r="C27" i="69"/>
  <c r="B27" i="69"/>
  <c r="D27" i="69"/>
  <c r="E27" i="69"/>
  <c r="G27" i="69"/>
  <c r="F27" i="69"/>
  <c r="A122" i="83" l="1"/>
  <c r="A53" i="53" s="1"/>
  <c r="A33" i="84"/>
  <c r="C44" i="84"/>
  <c r="I108" i="29"/>
  <c r="A58" i="55"/>
  <c r="A115" i="55" s="1"/>
  <c r="A167" i="55" s="1"/>
  <c r="A226" i="55" s="1"/>
  <c r="A277" i="55" s="1"/>
  <c r="F40" i="48"/>
  <c r="D185" i="84"/>
  <c r="B33" i="21" s="1"/>
  <c r="B89" i="55"/>
  <c r="B141" i="55" s="1"/>
  <c r="D199" i="55" s="1"/>
  <c r="J9" i="29"/>
  <c r="F172" i="72"/>
  <c r="F177" i="72" s="1"/>
  <c r="D29" i="21" s="1"/>
  <c r="A17" i="72"/>
  <c r="A41" i="72" s="1"/>
  <c r="A72" i="72" s="1"/>
  <c r="A83" i="53"/>
  <c r="A83" i="81"/>
  <c r="E266" i="53"/>
  <c r="A19" i="84"/>
  <c r="A50" i="84" s="1"/>
  <c r="A91" i="84" s="1"/>
  <c r="A52" i="55"/>
  <c r="A109" i="55" s="1"/>
  <c r="A161" i="55" s="1"/>
  <c r="A220" i="55" s="1"/>
  <c r="A274" i="55" s="1"/>
  <c r="A45" i="55"/>
  <c r="A102" i="55" s="1"/>
  <c r="A154" i="55" s="1"/>
  <c r="A213" i="55" s="1"/>
  <c r="A267" i="55" s="1"/>
  <c r="A38" i="55"/>
  <c r="A95" i="55" s="1"/>
  <c r="A147" i="55" s="1"/>
  <c r="A206" i="55" s="1"/>
  <c r="A260" i="55" s="1"/>
  <c r="A56" i="55"/>
  <c r="A113" i="55" s="1"/>
  <c r="A165" i="55" s="1"/>
  <c r="A224" i="55" s="1"/>
  <c r="A275" i="55" s="1"/>
  <c r="A55" i="55"/>
  <c r="A112" i="55" s="1"/>
  <c r="A164" i="55" s="1"/>
  <c r="A223" i="55" s="1"/>
  <c r="A105" i="81"/>
  <c r="A22" i="53" s="1"/>
  <c r="A143" i="53" s="1"/>
  <c r="A210" i="53" s="1"/>
  <c r="A26" i="72"/>
  <c r="A50" i="72" s="1"/>
  <c r="A103" i="72" s="1"/>
  <c r="A14" i="84"/>
  <c r="A45" i="84" s="1"/>
  <c r="A71" i="84" s="1"/>
  <c r="A103" i="83"/>
  <c r="A34" i="53" s="1"/>
  <c r="A109" i="83"/>
  <c r="A40" i="53" s="1"/>
  <c r="A20" i="84"/>
  <c r="A51" i="84" s="1"/>
  <c r="A94" i="84" s="1"/>
  <c r="A164" i="53"/>
  <c r="A231" i="53" s="1"/>
  <c r="A96" i="53"/>
  <c r="A34" i="84"/>
  <c r="A62" i="84" s="1"/>
  <c r="A123" i="84" s="1"/>
  <c r="A123" i="83"/>
  <c r="A54" i="53" s="1"/>
  <c r="H4" i="22"/>
  <c r="H18" i="22" s="1"/>
  <c r="G15" i="22"/>
  <c r="G13" i="22"/>
  <c r="G11" i="22"/>
  <c r="G8" i="22"/>
  <c r="G172" i="72"/>
  <c r="G177" i="72" s="1"/>
  <c r="E29" i="21" s="1"/>
  <c r="H133" i="72"/>
  <c r="F255" i="55"/>
  <c r="G172" i="55"/>
  <c r="G223" i="55" s="1"/>
  <c r="F280" i="55"/>
  <c r="F294" i="55"/>
  <c r="F301" i="55" s="1"/>
  <c r="D28" i="21" s="1"/>
  <c r="A18" i="72"/>
  <c r="A42" i="72" s="1"/>
  <c r="A77" i="72" s="1"/>
  <c r="A97" i="81"/>
  <c r="A14" i="53" s="1"/>
  <c r="A135" i="53" s="1"/>
  <c r="A202" i="53" s="1"/>
  <c r="A16" i="84"/>
  <c r="A47" i="84" s="1"/>
  <c r="A79" i="84" s="1"/>
  <c r="A105" i="83"/>
  <c r="A36" i="53" s="1"/>
  <c r="A30" i="84"/>
  <c r="A61" i="84" s="1"/>
  <c r="A122" i="84" s="1"/>
  <c r="A119" i="83"/>
  <c r="A50" i="53" s="1"/>
  <c r="F214" i="53"/>
  <c r="F266" i="53"/>
  <c r="F268" i="53"/>
  <c r="G124" i="53"/>
  <c r="F205" i="53"/>
  <c r="F243" i="53"/>
  <c r="F265" i="53"/>
  <c r="F267" i="53"/>
  <c r="H31" i="69"/>
  <c r="F222" i="55"/>
  <c r="F19" i="22"/>
  <c r="D219" i="53"/>
  <c r="A79" i="81"/>
  <c r="A111" i="83"/>
  <c r="A42" i="53" s="1"/>
  <c r="A113" i="83"/>
  <c r="A44" i="53" s="1"/>
  <c r="A165" i="53" s="1"/>
  <c r="A232" i="53" s="1"/>
  <c r="A125" i="83"/>
  <c r="A56" i="53" s="1"/>
  <c r="A177" i="53" s="1"/>
  <c r="A241" i="53" s="1"/>
  <c r="A98" i="83"/>
  <c r="A126" i="83" s="1"/>
  <c r="A57" i="53" s="1"/>
  <c r="A110" i="53" s="1"/>
  <c r="E28" i="42"/>
  <c r="F17" i="42"/>
  <c r="E214" i="53"/>
  <c r="F9" i="22"/>
  <c r="F8" i="22"/>
  <c r="F10" i="22"/>
  <c r="F11" i="22"/>
  <c r="F12" i="22"/>
  <c r="F13" i="22"/>
  <c r="F14" i="22"/>
  <c r="F15" i="22"/>
  <c r="E279" i="55"/>
  <c r="D273" i="53"/>
  <c r="B32" i="21" s="1"/>
  <c r="C39" i="48"/>
  <c r="F39" i="48" s="1"/>
  <c r="M21" i="48"/>
  <c r="C54" i="48" s="1"/>
  <c r="E54" i="48" s="1"/>
  <c r="J13" i="48"/>
  <c r="H9" i="48"/>
  <c r="H21" i="48" s="1"/>
  <c r="F21" i="48"/>
  <c r="J14" i="48"/>
  <c r="J16" i="48"/>
  <c r="E40" i="48"/>
  <c r="J10" i="48"/>
  <c r="C34" i="48"/>
  <c r="E34" i="48" s="1"/>
  <c r="E48" i="48"/>
  <c r="E38" i="48"/>
  <c r="D34" i="42"/>
  <c r="D45" i="42" s="1"/>
  <c r="D47" i="42" s="1"/>
  <c r="E89" i="55"/>
  <c r="E141" i="55" s="1"/>
  <c r="F89" i="55"/>
  <c r="F141" i="55" s="1"/>
  <c r="G89" i="55"/>
  <c r="G141" i="55" s="1"/>
  <c r="D254" i="55"/>
  <c r="C141" i="55"/>
  <c r="D89" i="55"/>
  <c r="C100" i="81"/>
  <c r="H69" i="57"/>
  <c r="G39" i="57"/>
  <c r="G12" i="57"/>
  <c r="D5" i="62" s="1"/>
  <c r="O16" i="61"/>
  <c r="F109" i="57"/>
  <c r="D9" i="62" s="1"/>
  <c r="C19" i="68" s="1"/>
  <c r="Q10" i="61"/>
  <c r="R10" i="61" s="1"/>
  <c r="R16" i="61" s="1"/>
  <c r="P16" i="61"/>
  <c r="F10" i="62"/>
  <c r="C86" i="22"/>
  <c r="F86" i="22"/>
  <c r="E86" i="22"/>
  <c r="C20" i="68"/>
  <c r="D86" i="22"/>
  <c r="G86" i="22"/>
  <c r="F43" i="21" s="1"/>
  <c r="F221" i="55"/>
  <c r="G222" i="55"/>
  <c r="F223" i="55"/>
  <c r="A66" i="53"/>
  <c r="A134" i="53"/>
  <c r="A201" i="53" s="1"/>
  <c r="A98" i="81"/>
  <c r="A15" i="53" s="1"/>
  <c r="A19" i="72"/>
  <c r="A43" i="72" s="1"/>
  <c r="A80" i="72" s="1"/>
  <c r="A148" i="53"/>
  <c r="A215" i="53" s="1"/>
  <c r="A80" i="53"/>
  <c r="A133" i="53"/>
  <c r="A200" i="53" s="1"/>
  <c r="A65" i="53"/>
  <c r="A67" i="53"/>
  <c r="A137" i="53"/>
  <c r="A204" i="53" s="1"/>
  <c r="A69" i="53"/>
  <c r="A102" i="81"/>
  <c r="A19" i="53" s="1"/>
  <c r="A23" i="72"/>
  <c r="A47" i="72" s="1"/>
  <c r="A94" i="72" s="1"/>
  <c r="A94" i="81"/>
  <c r="A11" i="53" s="1"/>
  <c r="A15" i="72"/>
  <c r="A39" i="72" s="1"/>
  <c r="A65" i="72" s="1"/>
  <c r="A145" i="53"/>
  <c r="A212" i="53" s="1"/>
  <c r="A77" i="53"/>
  <c r="A141" i="53"/>
  <c r="A208" i="53" s="1"/>
  <c r="A73" i="53"/>
  <c r="A106" i="81"/>
  <c r="A23" i="53" s="1"/>
  <c r="A27" i="72"/>
  <c r="A51" i="72" s="1"/>
  <c r="A106" i="72" s="1"/>
  <c r="A157" i="53"/>
  <c r="A224" i="53" s="1"/>
  <c r="A89" i="53"/>
  <c r="A97" i="53"/>
  <c r="A86" i="83"/>
  <c r="A47" i="55"/>
  <c r="A104" i="55" s="1"/>
  <c r="A156" i="55" s="1"/>
  <c r="A215" i="55" s="1"/>
  <c r="A269" i="55" s="1"/>
  <c r="A172" i="53"/>
  <c r="A104" i="53"/>
  <c r="A12" i="55"/>
  <c r="A69" i="55" s="1"/>
  <c r="A121" i="55" s="1"/>
  <c r="A179" i="55" s="1"/>
  <c r="A234" i="55" s="1"/>
  <c r="A13" i="55"/>
  <c r="A70" i="55" s="1"/>
  <c r="A122" i="55" s="1"/>
  <c r="A180" i="55" s="1"/>
  <c r="A235" i="55" s="1"/>
  <c r="A30" i="72"/>
  <c r="A54" i="72" s="1"/>
  <c r="A115" i="72" s="1"/>
  <c r="A79" i="53"/>
  <c r="A104" i="81"/>
  <c r="A21" i="53" s="1"/>
  <c r="A25" i="72"/>
  <c r="A49" i="72" s="1"/>
  <c r="A100" i="72" s="1"/>
  <c r="D41" i="84"/>
  <c r="E40" i="84"/>
  <c r="A149" i="53"/>
  <c r="A216" i="53" s="1"/>
  <c r="A81" i="53"/>
  <c r="A18" i="84"/>
  <c r="A49" i="84" s="1"/>
  <c r="A87" i="84" s="1"/>
  <c r="A107" i="83"/>
  <c r="A38" i="53" s="1"/>
  <c r="A26" i="84"/>
  <c r="A57" i="84" s="1"/>
  <c r="A118" i="84" s="1"/>
  <c r="A115" i="83"/>
  <c r="A46" i="53" s="1"/>
  <c r="A25" i="55"/>
  <c r="A82" i="55" s="1"/>
  <c r="A134" i="55" s="1"/>
  <c r="A192" i="55" s="1"/>
  <c r="A247" i="55" s="1"/>
  <c r="A16" i="72"/>
  <c r="A40" i="72" s="1"/>
  <c r="A69" i="72" s="1"/>
  <c r="A75" i="81"/>
  <c r="A75" i="53"/>
  <c r="H58" i="29"/>
  <c r="H108" i="29"/>
  <c r="I9" i="29"/>
  <c r="A41" i="55"/>
  <c r="A98" i="55" s="1"/>
  <c r="A150" i="55" s="1"/>
  <c r="A209" i="55" s="1"/>
  <c r="A263" i="55" s="1"/>
  <c r="A62" i="53"/>
  <c r="A130" i="53"/>
  <c r="A197" i="53" s="1"/>
  <c r="A78" i="83"/>
  <c r="A39" i="55"/>
  <c r="A96" i="55" s="1"/>
  <c r="A148" i="55" s="1"/>
  <c r="A207" i="55" s="1"/>
  <c r="A261" i="55" s="1"/>
  <c r="A93" i="81"/>
  <c r="A10" i="53" s="1"/>
  <c r="A108" i="81"/>
  <c r="A25" i="53" s="1"/>
  <c r="A29" i="72"/>
  <c r="A53" i="72" s="1"/>
  <c r="A112" i="72" s="1"/>
  <c r="A161" i="53"/>
  <c r="A228" i="53" s="1"/>
  <c r="A93" i="53"/>
  <c r="A21" i="55"/>
  <c r="A78" i="55" s="1"/>
  <c r="A130" i="55" s="1"/>
  <c r="A188" i="55" s="1"/>
  <c r="A243" i="55" s="1"/>
  <c r="A24" i="72"/>
  <c r="A48" i="72" s="1"/>
  <c r="A97" i="72" s="1"/>
  <c r="A31" i="72"/>
  <c r="A55" i="72" s="1"/>
  <c r="A118" i="72" s="1"/>
  <c r="A71" i="53"/>
  <c r="A37" i="84"/>
  <c r="A65" i="84" s="1"/>
  <c r="A135" i="84" s="1"/>
  <c r="A86" i="81"/>
  <c r="A111" i="81" s="1"/>
  <c r="A29" i="53" s="1"/>
  <c r="A30" i="55"/>
  <c r="A87" i="55" s="1"/>
  <c r="A139" i="55" s="1"/>
  <c r="A197" i="55" s="1"/>
  <c r="A252" i="55" s="1"/>
  <c r="A92" i="53"/>
  <c r="A160" i="53"/>
  <c r="A227" i="53" s="1"/>
  <c r="A88" i="83"/>
  <c r="A49" i="55"/>
  <c r="A106" i="55" s="1"/>
  <c r="A158" i="55" s="1"/>
  <c r="A217" i="55" s="1"/>
  <c r="A271" i="55" s="1"/>
  <c r="A124" i="83"/>
  <c r="A55" i="53" s="1"/>
  <c r="A35" i="84"/>
  <c r="A63" i="84" s="1"/>
  <c r="A127" i="84" s="1"/>
  <c r="A178" i="53"/>
  <c r="A242" i="53" s="1"/>
  <c r="A175" i="53"/>
  <c r="A239" i="53" s="1"/>
  <c r="A107" i="53"/>
  <c r="V16" i="61"/>
  <c r="A174" i="53"/>
  <c r="A106" i="53"/>
  <c r="F38" i="61"/>
  <c r="C10" i="21"/>
  <c r="E219" i="53"/>
  <c r="F152" i="53"/>
  <c r="A117" i="83"/>
  <c r="A48" i="53" s="1"/>
  <c r="F9" i="42"/>
  <c r="E34" i="42"/>
  <c r="E273" i="53"/>
  <c r="C32" i="21" s="1"/>
  <c r="A74" i="83"/>
  <c r="A35" i="55"/>
  <c r="A92" i="55" s="1"/>
  <c r="A144" i="55" s="1"/>
  <c r="A203" i="55" s="1"/>
  <c r="A257" i="55" s="1"/>
  <c r="A82" i="83"/>
  <c r="A43" i="55"/>
  <c r="A100" i="55" s="1"/>
  <c r="A152" i="55" s="1"/>
  <c r="A211" i="55" s="1"/>
  <c r="A265" i="55" s="1"/>
  <c r="A90" i="83"/>
  <c r="A51" i="55"/>
  <c r="A108" i="55" s="1"/>
  <c r="A160" i="55" s="1"/>
  <c r="A219" i="55" s="1"/>
  <c r="A273" i="55" s="1"/>
  <c r="A13" i="72"/>
  <c r="A37" i="72" s="1"/>
  <c r="A58" i="72" s="1"/>
  <c r="A121" i="83"/>
  <c r="A52" i="53" s="1"/>
  <c r="A32" i="84"/>
  <c r="G27" i="48"/>
  <c r="F38" i="48"/>
  <c r="F48" i="48"/>
  <c r="F37" i="48"/>
  <c r="F149" i="84"/>
  <c r="E181" i="84"/>
  <c r="E185" i="84" s="1"/>
  <c r="C33" i="21" s="1"/>
  <c r="E199" i="55"/>
  <c r="E223" i="55"/>
  <c r="E221" i="55"/>
  <c r="F27" i="42"/>
  <c r="C113" i="81"/>
  <c r="G61" i="57"/>
  <c r="Q16" i="61"/>
  <c r="F28" i="42"/>
  <c r="F29" i="42"/>
  <c r="H22" i="22"/>
  <c r="H20" i="22"/>
  <c r="H19" i="22"/>
  <c r="H17" i="22"/>
  <c r="H15" i="22"/>
  <c r="H13" i="22"/>
  <c r="H11" i="22"/>
  <c r="E33" i="72"/>
  <c r="D34" i="72"/>
  <c r="G205" i="53"/>
  <c r="G21" i="22"/>
  <c r="G17" i="22"/>
  <c r="G18" i="22"/>
  <c r="G20" i="22"/>
  <c r="G22" i="22"/>
  <c r="G16" i="22"/>
  <c r="G19" i="22"/>
  <c r="G254" i="55"/>
  <c r="G279" i="55"/>
  <c r="G9" i="22"/>
  <c r="G10" i="22"/>
  <c r="G12" i="22"/>
  <c r="G14" i="22"/>
  <c r="F20" i="22"/>
  <c r="F16" i="22"/>
  <c r="F21" i="22"/>
  <c r="F18" i="22"/>
  <c r="F22" i="22"/>
  <c r="F17" i="22"/>
  <c r="F279" i="55"/>
  <c r="E51" i="61"/>
  <c r="E38" i="61"/>
  <c r="B10" i="21"/>
  <c r="C35" i="48"/>
  <c r="J11" i="48"/>
  <c r="C23" i="83"/>
  <c r="D37" i="83"/>
  <c r="D38" i="83"/>
  <c r="D39" i="83"/>
  <c r="D40" i="83"/>
  <c r="D15" i="83"/>
  <c r="D17" i="83"/>
  <c r="D18" i="83"/>
  <c r="D19" i="83"/>
  <c r="D14" i="83"/>
  <c r="D16" i="83"/>
  <c r="D20" i="83"/>
  <c r="D21" i="83"/>
  <c r="D22" i="83"/>
  <c r="C32" i="83"/>
  <c r="J12" i="48"/>
  <c r="C36" i="48"/>
  <c r="E23" i="22"/>
  <c r="B35" i="21" s="1"/>
  <c r="B36" i="21" s="1"/>
  <c r="F98" i="57"/>
  <c r="D8" i="62" s="1"/>
  <c r="J8" i="48"/>
  <c r="C32" i="48"/>
  <c r="F84" i="57"/>
  <c r="D7" i="62" s="1"/>
  <c r="G44" i="57"/>
  <c r="D151" i="53"/>
  <c r="D218" i="53"/>
  <c r="B75" i="81"/>
  <c r="B50" i="81"/>
  <c r="C32" i="81"/>
  <c r="D14" i="81"/>
  <c r="D15" i="81"/>
  <c r="D16" i="81"/>
  <c r="D17" i="81"/>
  <c r="D18" i="81"/>
  <c r="D19" i="81"/>
  <c r="D20" i="81"/>
  <c r="D21" i="81"/>
  <c r="C23" i="81"/>
  <c r="A109" i="53" l="1"/>
  <c r="H172" i="55"/>
  <c r="H222" i="55" s="1"/>
  <c r="H14" i="22"/>
  <c r="H8" i="22"/>
  <c r="H21" i="22"/>
  <c r="F34" i="48"/>
  <c r="F273" i="53"/>
  <c r="D32" i="21" s="1"/>
  <c r="B20" i="21"/>
  <c r="E39" i="48"/>
  <c r="G17" i="42"/>
  <c r="F37" i="42"/>
  <c r="F43" i="42" s="1"/>
  <c r="D30" i="21" s="1"/>
  <c r="F21" i="42"/>
  <c r="F23" i="42" s="1"/>
  <c r="G243" i="53"/>
  <c r="H124" i="53"/>
  <c r="G214" i="53"/>
  <c r="G266" i="53"/>
  <c r="G268" i="53"/>
  <c r="G265" i="53"/>
  <c r="G267" i="53"/>
  <c r="A171" i="53"/>
  <c r="A238" i="53" s="1"/>
  <c r="A103" i="53"/>
  <c r="G255" i="55"/>
  <c r="G280" i="55"/>
  <c r="G221" i="55"/>
  <c r="G294" i="55"/>
  <c r="G301" i="55" s="1"/>
  <c r="E28" i="21" s="1"/>
  <c r="I133" i="72"/>
  <c r="H172" i="72"/>
  <c r="H177" i="72" s="1"/>
  <c r="F29" i="21" s="1"/>
  <c r="I4" i="22"/>
  <c r="H16" i="22"/>
  <c r="H12" i="22"/>
  <c r="H10" i="22"/>
  <c r="H9" i="22"/>
  <c r="F23" i="22"/>
  <c r="C35" i="21" s="1"/>
  <c r="G152" i="53"/>
  <c r="A163" i="53"/>
  <c r="A230" i="53" s="1"/>
  <c r="A95" i="53"/>
  <c r="A155" i="53"/>
  <c r="A222" i="53" s="1"/>
  <c r="A87" i="53"/>
  <c r="G219" i="53"/>
  <c r="C15" i="68"/>
  <c r="J9" i="48"/>
  <c r="J21" i="48" s="1"/>
  <c r="G53" i="48" s="1"/>
  <c r="C33" i="48"/>
  <c r="F33" i="48" s="1"/>
  <c r="F54" i="48"/>
  <c r="D141" i="55"/>
  <c r="F199" i="55" s="1"/>
  <c r="F254" i="55"/>
  <c r="D100" i="81"/>
  <c r="E100" i="81" s="1"/>
  <c r="F100" i="81" s="1"/>
  <c r="G100" i="81" s="1"/>
  <c r="H100" i="81" s="1"/>
  <c r="F5" i="62"/>
  <c r="G87" i="22"/>
  <c r="C37" i="22"/>
  <c r="I38" i="22" s="1"/>
  <c r="C55" i="22"/>
  <c r="C56" i="22" s="1"/>
  <c r="C57" i="22" s="1"/>
  <c r="F9" i="62"/>
  <c r="G23" i="22"/>
  <c r="D35" i="21" s="1"/>
  <c r="D43" i="21"/>
  <c r="E87" i="22"/>
  <c r="E43" i="21"/>
  <c r="F87" i="22"/>
  <c r="C43" i="21"/>
  <c r="D87" i="22"/>
  <c r="B43" i="21"/>
  <c r="C87" i="22"/>
  <c r="C36" i="21"/>
  <c r="C131" i="29"/>
  <c r="C161" i="29"/>
  <c r="C23" i="68"/>
  <c r="C176" i="29"/>
  <c r="C146" i="29"/>
  <c r="F20" i="83"/>
  <c r="H20" i="83" s="1"/>
  <c r="B108" i="83"/>
  <c r="B106" i="83"/>
  <c r="F18" i="83"/>
  <c r="H18" i="83" s="1"/>
  <c r="B125" i="83"/>
  <c r="F39" i="83"/>
  <c r="H39" i="83" s="1"/>
  <c r="A173" i="53"/>
  <c r="A105" i="53"/>
  <c r="A106" i="83"/>
  <c r="A37" i="53" s="1"/>
  <c r="A17" i="84"/>
  <c r="A48" i="84" s="1"/>
  <c r="A83" i="84" s="1"/>
  <c r="B94" i="81"/>
  <c r="F16" i="81"/>
  <c r="H16" i="81" s="1"/>
  <c r="D33" i="83"/>
  <c r="D34" i="83"/>
  <c r="D35" i="83"/>
  <c r="D36" i="83"/>
  <c r="B105" i="83"/>
  <c r="F17" i="83"/>
  <c r="H17" i="83" s="1"/>
  <c r="H223" i="55"/>
  <c r="G9" i="42"/>
  <c r="A116" i="83"/>
  <c r="A47" i="53" s="1"/>
  <c r="A27" i="84"/>
  <c r="A58" i="84" s="1"/>
  <c r="A119" i="84" s="1"/>
  <c r="F19" i="81"/>
  <c r="H19" i="81" s="1"/>
  <c r="F15" i="81"/>
  <c r="H15" i="81" s="1"/>
  <c r="B21" i="72"/>
  <c r="B45" i="72" s="1"/>
  <c r="C75" i="81"/>
  <c r="F7" i="62"/>
  <c r="C49" i="22"/>
  <c r="C17" i="68"/>
  <c r="E36" i="48"/>
  <c r="G36" i="48"/>
  <c r="F36" i="48"/>
  <c r="F22" i="83"/>
  <c r="H22" i="83" s="1"/>
  <c r="B110" i="83"/>
  <c r="F14" i="83"/>
  <c r="H14" i="83" s="1"/>
  <c r="N14" i="83"/>
  <c r="H74" i="83" s="1"/>
  <c r="H13" i="84" s="1"/>
  <c r="B102" i="83"/>
  <c r="M14" i="83"/>
  <c r="G74" i="83" s="1"/>
  <c r="G13" i="84" s="1"/>
  <c r="L14" i="83"/>
  <c r="F74" i="83" s="1"/>
  <c r="F13" i="84" s="1"/>
  <c r="K14" i="83"/>
  <c r="E74" i="83" s="1"/>
  <c r="E13" i="84" s="1"/>
  <c r="J14" i="83"/>
  <c r="D74" i="83" s="1"/>
  <c r="D13" i="84" s="1"/>
  <c r="B103" i="83"/>
  <c r="F15" i="83"/>
  <c r="H15" i="83" s="1"/>
  <c r="B123" i="83"/>
  <c r="F37" i="83"/>
  <c r="H37" i="83" s="1"/>
  <c r="F33" i="72"/>
  <c r="E34" i="72"/>
  <c r="D113" i="81"/>
  <c r="D30" i="53"/>
  <c r="D83" i="53" s="1"/>
  <c r="F34" i="42"/>
  <c r="F51" i="61"/>
  <c r="C20" i="21"/>
  <c r="E45" i="42"/>
  <c r="E47" i="42" s="1"/>
  <c r="D169" i="29"/>
  <c r="D154" i="29"/>
  <c r="D31" i="29"/>
  <c r="D139" i="29"/>
  <c r="D124" i="29"/>
  <c r="A63" i="53"/>
  <c r="A131" i="53"/>
  <c r="A198" i="53" s="1"/>
  <c r="G58" i="29"/>
  <c r="H9" i="29"/>
  <c r="H94" i="29"/>
  <c r="G108" i="29"/>
  <c r="A159" i="53"/>
  <c r="A226" i="53" s="1"/>
  <c r="A91" i="53"/>
  <c r="F40" i="84"/>
  <c r="E41" i="84"/>
  <c r="A132" i="53"/>
  <c r="A199" i="53" s="1"/>
  <c r="A64" i="53"/>
  <c r="F21" i="81"/>
  <c r="H21" i="81" s="1"/>
  <c r="F17" i="81"/>
  <c r="H17" i="81" s="1"/>
  <c r="D36" i="81"/>
  <c r="D35" i="81"/>
  <c r="F35" i="81" s="1"/>
  <c r="H35" i="81" s="1"/>
  <c r="D34" i="81"/>
  <c r="D33" i="81"/>
  <c r="C169" i="29"/>
  <c r="C124" i="29"/>
  <c r="C31" i="29"/>
  <c r="C139" i="29"/>
  <c r="C154" i="29"/>
  <c r="I172" i="55"/>
  <c r="H255" i="55"/>
  <c r="H279" i="55"/>
  <c r="H280" i="55"/>
  <c r="H254" i="55"/>
  <c r="H199" i="55"/>
  <c r="H294" i="55"/>
  <c r="H301" i="55" s="1"/>
  <c r="F28" i="21" s="1"/>
  <c r="A167" i="53"/>
  <c r="A234" i="53" s="1"/>
  <c r="A99" i="53"/>
  <c r="A140" i="53"/>
  <c r="A207" i="53" s="1"/>
  <c r="A72" i="53"/>
  <c r="A68" i="53"/>
  <c r="A136" i="53"/>
  <c r="A203" i="53" s="1"/>
  <c r="F20" i="81"/>
  <c r="H20" i="81" s="1"/>
  <c r="B19" i="55"/>
  <c r="B76" i="55" s="1"/>
  <c r="C50" i="81"/>
  <c r="B104" i="83"/>
  <c r="F16" i="83"/>
  <c r="H16" i="83" s="1"/>
  <c r="B124" i="83"/>
  <c r="F38" i="83"/>
  <c r="H38" i="83" s="1"/>
  <c r="E35" i="48"/>
  <c r="F35" i="48"/>
  <c r="G35" i="48"/>
  <c r="G54" i="48"/>
  <c r="G40" i="48"/>
  <c r="H27" i="48"/>
  <c r="H36" i="48" s="1"/>
  <c r="G37" i="48"/>
  <c r="G38" i="48"/>
  <c r="G39" i="48"/>
  <c r="G62" i="48"/>
  <c r="G66" i="48" s="1"/>
  <c r="D31" i="21" s="1"/>
  <c r="G34" i="48"/>
  <c r="G48" i="48"/>
  <c r="A110" i="83"/>
  <c r="A41" i="53" s="1"/>
  <c r="A21" i="84"/>
  <c r="A52" i="84" s="1"/>
  <c r="A98" i="84" s="1"/>
  <c r="A150" i="53"/>
  <c r="A217" i="53" s="1"/>
  <c r="A82" i="53"/>
  <c r="A146" i="53"/>
  <c r="A213" i="53" s="1"/>
  <c r="A78" i="53"/>
  <c r="D28" i="81"/>
  <c r="D29" i="81"/>
  <c r="D24" i="81"/>
  <c r="D25" i="81"/>
  <c r="D26" i="81"/>
  <c r="D30" i="81"/>
  <c r="D27" i="81"/>
  <c r="D31" i="81"/>
  <c r="F18" i="81"/>
  <c r="H18" i="81" s="1"/>
  <c r="B92" i="81"/>
  <c r="F14" i="81"/>
  <c r="H14" i="81" s="1"/>
  <c r="B67" i="81" s="1"/>
  <c r="M14" i="81"/>
  <c r="K14" i="81"/>
  <c r="J14" i="81"/>
  <c r="L14" i="81"/>
  <c r="N14" i="81"/>
  <c r="E32" i="48"/>
  <c r="G32" i="48"/>
  <c r="H32" i="48"/>
  <c r="F32" i="48"/>
  <c r="F8" i="62"/>
  <c r="C61" i="22"/>
  <c r="C18" i="68"/>
  <c r="F21" i="83"/>
  <c r="H21" i="83" s="1"/>
  <c r="B109" i="83"/>
  <c r="B107" i="83"/>
  <c r="F19" i="83"/>
  <c r="H19" i="83" s="1"/>
  <c r="B126" i="83"/>
  <c r="F40" i="83"/>
  <c r="H40" i="83" s="1"/>
  <c r="D27" i="83"/>
  <c r="D28" i="83"/>
  <c r="D29" i="83"/>
  <c r="D30" i="83"/>
  <c r="D31" i="83"/>
  <c r="D24" i="83"/>
  <c r="D25" i="83"/>
  <c r="D26" i="83"/>
  <c r="H23" i="22"/>
  <c r="E35" i="21" s="1"/>
  <c r="G69" i="57"/>
  <c r="D6" i="62" s="1"/>
  <c r="G149" i="84"/>
  <c r="F181" i="84"/>
  <c r="F180" i="84"/>
  <c r="F185" i="84" s="1"/>
  <c r="D33" i="21" s="1"/>
  <c r="A118" i="83"/>
  <c r="A49" i="53" s="1"/>
  <c r="A29" i="84"/>
  <c r="A60" i="84" s="1"/>
  <c r="A121" i="84" s="1"/>
  <c r="A102" i="83"/>
  <c r="A33" i="53" s="1"/>
  <c r="A13" i="84"/>
  <c r="A44" i="84" s="1"/>
  <c r="A67" i="84" s="1"/>
  <c r="H221" i="55"/>
  <c r="A169" i="53"/>
  <c r="A236" i="53" s="1"/>
  <c r="A101" i="53"/>
  <c r="A108" i="53"/>
  <c r="A176" i="53"/>
  <c r="A240" i="53" s="1"/>
  <c r="A100" i="81"/>
  <c r="A21" i="72"/>
  <c r="A45" i="72" s="1"/>
  <c r="A87" i="72" s="1"/>
  <c r="A142" i="53"/>
  <c r="A209" i="53" s="1"/>
  <c r="A74" i="53"/>
  <c r="A114" i="83"/>
  <c r="A45" i="53" s="1"/>
  <c r="A25" i="84"/>
  <c r="A56" i="84" s="1"/>
  <c r="A114" i="84" s="1"/>
  <c r="A76" i="53"/>
  <c r="A144" i="53"/>
  <c r="A211" i="53" s="1"/>
  <c r="G199" i="55" l="1"/>
  <c r="I14" i="22"/>
  <c r="I19" i="22"/>
  <c r="I22" i="22"/>
  <c r="I21" i="22"/>
  <c r="I20" i="22"/>
  <c r="I15" i="22"/>
  <c r="I11" i="22"/>
  <c r="I9" i="22"/>
  <c r="I12" i="22"/>
  <c r="I17" i="22"/>
  <c r="I16" i="22"/>
  <c r="I18" i="22"/>
  <c r="J4" i="22"/>
  <c r="I13" i="22"/>
  <c r="I8" i="22"/>
  <c r="I10" i="22"/>
  <c r="I172" i="72"/>
  <c r="I177" i="72" s="1"/>
  <c r="G29" i="21" s="1"/>
  <c r="J133" i="72"/>
  <c r="J172" i="72" s="1"/>
  <c r="J177" i="72" s="1"/>
  <c r="H29" i="21" s="1"/>
  <c r="H219" i="53"/>
  <c r="H266" i="53"/>
  <c r="H268" i="53"/>
  <c r="H265" i="53"/>
  <c r="H267" i="53"/>
  <c r="I124" i="53"/>
  <c r="H214" i="53"/>
  <c r="H243" i="53"/>
  <c r="H205" i="53"/>
  <c r="H152" i="53"/>
  <c r="G38" i="61"/>
  <c r="D10" i="21"/>
  <c r="G21" i="42"/>
  <c r="G23" i="42" s="1"/>
  <c r="H17" i="42"/>
  <c r="G28" i="42"/>
  <c r="G37" i="42"/>
  <c r="G43" i="42" s="1"/>
  <c r="E30" i="21" s="1"/>
  <c r="G27" i="42"/>
  <c r="G29" i="42"/>
  <c r="G273" i="53"/>
  <c r="E32" i="21" s="1"/>
  <c r="G33" i="48"/>
  <c r="E33" i="48"/>
  <c r="E49" i="48" s="1"/>
  <c r="B11" i="21" s="1"/>
  <c r="F53" i="48"/>
  <c r="F59" i="48" s="1"/>
  <c r="F67" i="48" s="1"/>
  <c r="E53" i="48"/>
  <c r="E59" i="48" s="1"/>
  <c r="E67" i="48" s="1"/>
  <c r="G49" i="48"/>
  <c r="D11" i="21" s="1"/>
  <c r="D38" i="22"/>
  <c r="K37" i="22"/>
  <c r="K38" i="22" s="1"/>
  <c r="K39" i="22" s="1"/>
  <c r="F38" i="22"/>
  <c r="E38" i="22"/>
  <c r="G38" i="22"/>
  <c r="C38" i="22"/>
  <c r="C39" i="22" s="1"/>
  <c r="H38" i="22"/>
  <c r="G56" i="22"/>
  <c r="D56" i="22"/>
  <c r="D57" i="22" s="1"/>
  <c r="E56" i="22"/>
  <c r="I56" i="22"/>
  <c r="K55" i="22"/>
  <c r="K56" i="22" s="1"/>
  <c r="K57" i="22" s="1"/>
  <c r="F56" i="22"/>
  <c r="H56" i="22"/>
  <c r="C108" i="29"/>
  <c r="C58" i="29"/>
  <c r="D94" i="29"/>
  <c r="D9" i="29"/>
  <c r="G9" i="29"/>
  <c r="F58" i="29"/>
  <c r="G94" i="29"/>
  <c r="F108" i="29"/>
  <c r="B18" i="69"/>
  <c r="C18" i="69" s="1"/>
  <c r="D18" i="69" s="1"/>
  <c r="E18" i="69" s="1"/>
  <c r="F18" i="69" s="1"/>
  <c r="G18" i="69" s="1"/>
  <c r="H18" i="69" s="1"/>
  <c r="D108" i="29"/>
  <c r="E94" i="29"/>
  <c r="E9" i="29"/>
  <c r="D58" i="29"/>
  <c r="E108" i="29"/>
  <c r="E58" i="29"/>
  <c r="F94" i="29"/>
  <c r="F9" i="29"/>
  <c r="B51" i="83"/>
  <c r="B79" i="83"/>
  <c r="B104" i="81"/>
  <c r="F27" i="81"/>
  <c r="H27" i="81" s="1"/>
  <c r="D36" i="21"/>
  <c r="B48" i="81"/>
  <c r="B73" i="81"/>
  <c r="J172" i="55"/>
  <c r="I280" i="55"/>
  <c r="I255" i="55"/>
  <c r="I199" i="55"/>
  <c r="I279" i="55"/>
  <c r="I294" i="55"/>
  <c r="I301" i="55" s="1"/>
  <c r="G28" i="21" s="1"/>
  <c r="I221" i="55"/>
  <c r="I222" i="55"/>
  <c r="I223" i="55"/>
  <c r="I254" i="55"/>
  <c r="C54" i="53"/>
  <c r="C107" i="53" s="1"/>
  <c r="C123" i="83"/>
  <c r="H9" i="42"/>
  <c r="B69" i="83"/>
  <c r="B97" i="83"/>
  <c r="B114" i="83"/>
  <c r="F27" i="83"/>
  <c r="H27" i="83" s="1"/>
  <c r="C62" i="22"/>
  <c r="C63" i="22" s="1"/>
  <c r="G62" i="22"/>
  <c r="F62" i="22"/>
  <c r="E62" i="22"/>
  <c r="H62" i="22"/>
  <c r="I62" i="22"/>
  <c r="D62" i="22"/>
  <c r="K61" i="22"/>
  <c r="B71" i="81"/>
  <c r="B46" i="81"/>
  <c r="B106" i="81"/>
  <c r="F29" i="81"/>
  <c r="H29" i="81" s="1"/>
  <c r="C104" i="83"/>
  <c r="C35" i="53"/>
  <c r="C88" i="53" s="1"/>
  <c r="G51" i="61"/>
  <c r="D20" i="21"/>
  <c r="F45" i="42"/>
  <c r="F47" i="42" s="1"/>
  <c r="F34" i="72"/>
  <c r="G33" i="72"/>
  <c r="C50" i="22"/>
  <c r="C52" i="22" s="1"/>
  <c r="G50" i="22"/>
  <c r="K49" i="22"/>
  <c r="F50" i="22"/>
  <c r="D50" i="22"/>
  <c r="E50" i="22"/>
  <c r="I50" i="22"/>
  <c r="H50" i="22"/>
  <c r="B44" i="81"/>
  <c r="B69" i="81"/>
  <c r="C56" i="53"/>
  <c r="C109" i="53" s="1"/>
  <c r="C125" i="83"/>
  <c r="B113" i="83"/>
  <c r="F26" i="83"/>
  <c r="H26" i="83" s="1"/>
  <c r="B117" i="83"/>
  <c r="F30" i="83"/>
  <c r="H30" i="83" s="1"/>
  <c r="B70" i="83"/>
  <c r="B98" i="83"/>
  <c r="C40" i="53"/>
  <c r="C93" i="53" s="1"/>
  <c r="C109" i="83"/>
  <c r="C13" i="53"/>
  <c r="C66" i="53" s="1"/>
  <c r="C96" i="81"/>
  <c r="F26" i="81"/>
  <c r="H26" i="81" s="1"/>
  <c r="B105" i="81"/>
  <c r="F28" i="81"/>
  <c r="H28" i="81" s="1"/>
  <c r="H34" i="48"/>
  <c r="H38" i="48"/>
  <c r="H48" i="48"/>
  <c r="H54" i="48"/>
  <c r="H39" i="48"/>
  <c r="H33" i="48"/>
  <c r="I27" i="48"/>
  <c r="H37" i="48"/>
  <c r="H62" i="48"/>
  <c r="H66" i="48" s="1"/>
  <c r="E31" i="21" s="1"/>
  <c r="H40" i="48"/>
  <c r="B96" i="83"/>
  <c r="B68" i="83"/>
  <c r="D50" i="81"/>
  <c r="C19" i="55"/>
  <c r="C76" i="55" s="1"/>
  <c r="F33" i="81"/>
  <c r="H33" i="81" s="1"/>
  <c r="B109" i="81"/>
  <c r="C109" i="81" s="1"/>
  <c r="D109" i="81" s="1"/>
  <c r="E109" i="81" s="1"/>
  <c r="F109" i="81" s="1"/>
  <c r="G109" i="81" s="1"/>
  <c r="H109" i="81" s="1"/>
  <c r="B70" i="81"/>
  <c r="B45" i="81"/>
  <c r="G40" i="84"/>
  <c r="F41" i="84"/>
  <c r="F44" i="84" s="1"/>
  <c r="E218" i="53"/>
  <c r="E151" i="53"/>
  <c r="C34" i="53"/>
  <c r="C87" i="53" s="1"/>
  <c r="C103" i="83"/>
  <c r="C41" i="53"/>
  <c r="C94" i="53" s="1"/>
  <c r="C110" i="83"/>
  <c r="C10" i="53"/>
  <c r="C63" i="53" s="1"/>
  <c r="C93" i="81"/>
  <c r="A100" i="53"/>
  <c r="A168" i="53"/>
  <c r="A235" i="53" s="1"/>
  <c r="B77" i="83"/>
  <c r="B49" i="83"/>
  <c r="B120" i="83"/>
  <c r="F34" i="83"/>
  <c r="H34" i="83" s="1"/>
  <c r="C11" i="53"/>
  <c r="C64" i="53" s="1"/>
  <c r="C94" i="81"/>
  <c r="B50" i="83"/>
  <c r="B78" i="83"/>
  <c r="A98" i="53"/>
  <c r="A166" i="53"/>
  <c r="A233" i="53" s="1"/>
  <c r="F6" i="62"/>
  <c r="F12" i="62" s="1"/>
  <c r="C43" i="22"/>
  <c r="C65" i="22" s="1"/>
  <c r="B13" i="69" s="1"/>
  <c r="C16" i="68"/>
  <c r="E20" i="62"/>
  <c r="B111" i="83"/>
  <c r="F24" i="83"/>
  <c r="H24" i="83" s="1"/>
  <c r="B115" i="83"/>
  <c r="F28" i="83"/>
  <c r="H28" i="83" s="1"/>
  <c r="C62" i="53"/>
  <c r="C92" i="81"/>
  <c r="F24" i="81"/>
  <c r="H24" i="81" s="1"/>
  <c r="A94" i="53"/>
  <c r="A162" i="53"/>
  <c r="A229" i="53" s="1"/>
  <c r="B76" i="83"/>
  <c r="B48" i="83"/>
  <c r="B61" i="81"/>
  <c r="B86" i="81"/>
  <c r="C86" i="81" s="1"/>
  <c r="D86" i="81" s="1"/>
  <c r="E86" i="81" s="1"/>
  <c r="F86" i="81" s="1"/>
  <c r="G86" i="81" s="1"/>
  <c r="H86" i="81" s="1"/>
  <c r="B49" i="81"/>
  <c r="B74" i="81"/>
  <c r="E44" i="84"/>
  <c r="C14" i="53"/>
  <c r="C67" i="53" s="1"/>
  <c r="C97" i="81"/>
  <c r="B122" i="83"/>
  <c r="F36" i="83"/>
  <c r="H36" i="83" s="1"/>
  <c r="A90" i="53"/>
  <c r="A158" i="53"/>
  <c r="A225" i="53" s="1"/>
  <c r="C39" i="53"/>
  <c r="C92" i="53" s="1"/>
  <c r="C108" i="83"/>
  <c r="A102" i="53"/>
  <c r="A170" i="53"/>
  <c r="A237" i="53" s="1"/>
  <c r="B118" i="83"/>
  <c r="F31" i="83"/>
  <c r="H31" i="83" s="1"/>
  <c r="C38" i="53"/>
  <c r="C91" i="53" s="1"/>
  <c r="C107" i="83"/>
  <c r="B107" i="81"/>
  <c r="F30" i="81"/>
  <c r="H30" i="81" s="1"/>
  <c r="C15" i="53"/>
  <c r="C68" i="53" s="1"/>
  <c r="C98" i="81"/>
  <c r="B112" i="81"/>
  <c r="F36" i="81"/>
  <c r="H36" i="81" s="1"/>
  <c r="C16" i="53"/>
  <c r="C69" i="53" s="1"/>
  <c r="C99" i="81"/>
  <c r="B75" i="83"/>
  <c r="B47" i="83"/>
  <c r="B74" i="83"/>
  <c r="B13" i="84" s="1"/>
  <c r="B46" i="83"/>
  <c r="B43" i="81"/>
  <c r="B68" i="81"/>
  <c r="B121" i="83"/>
  <c r="F35" i="83"/>
  <c r="H35" i="83" s="1"/>
  <c r="B80" i="83"/>
  <c r="B52" i="83"/>
  <c r="A86" i="53"/>
  <c r="A154" i="53"/>
  <c r="A221" i="53" s="1"/>
  <c r="H149" i="84"/>
  <c r="G181" i="84"/>
  <c r="G180" i="84"/>
  <c r="B112" i="83"/>
  <c r="F25" i="83"/>
  <c r="H25" i="83" s="1"/>
  <c r="B116" i="83"/>
  <c r="F29" i="83"/>
  <c r="H29" i="83" s="1"/>
  <c r="C57" i="53"/>
  <c r="C110" i="53" s="1"/>
  <c r="C126" i="83"/>
  <c r="B53" i="83"/>
  <c r="B81" i="83"/>
  <c r="F49" i="48"/>
  <c r="B42" i="81"/>
  <c r="B108" i="81"/>
  <c r="F31" i="81"/>
  <c r="H31" i="81" s="1"/>
  <c r="F25" i="81"/>
  <c r="H25" i="81" s="1"/>
  <c r="H35" i="48"/>
  <c r="C55" i="53"/>
  <c r="C108" i="53" s="1"/>
  <c r="C124" i="83"/>
  <c r="B128" i="55"/>
  <c r="D186" i="55" s="1"/>
  <c r="D241" i="55"/>
  <c r="F34" i="81"/>
  <c r="H34" i="81" s="1"/>
  <c r="B111" i="81"/>
  <c r="B110" i="81"/>
  <c r="C12" i="53"/>
  <c r="C65" i="53" s="1"/>
  <c r="C95" i="81"/>
  <c r="E30" i="53"/>
  <c r="E83" i="53" s="1"/>
  <c r="E113" i="81"/>
  <c r="C58" i="22"/>
  <c r="D55" i="22" s="1"/>
  <c r="B95" i="83"/>
  <c r="B67" i="83"/>
  <c r="D44" i="84"/>
  <c r="C33" i="53"/>
  <c r="C86" i="53" s="1"/>
  <c r="C102" i="83"/>
  <c r="B82" i="83"/>
  <c r="B54" i="83"/>
  <c r="C21" i="72"/>
  <c r="C45" i="72" s="1"/>
  <c r="D75" i="81"/>
  <c r="B47" i="81"/>
  <c r="B72" i="81"/>
  <c r="C36" i="53"/>
  <c r="C89" i="53" s="1"/>
  <c r="C105" i="83"/>
  <c r="B119" i="83"/>
  <c r="F33" i="83"/>
  <c r="H33" i="83" s="1"/>
  <c r="C37" i="53"/>
  <c r="C90" i="53" s="1"/>
  <c r="C106" i="83"/>
  <c r="G59" i="48"/>
  <c r="H53" i="48"/>
  <c r="D131" i="29"/>
  <c r="D161" i="29"/>
  <c r="D146" i="29"/>
  <c r="D176" i="29"/>
  <c r="D23" i="68"/>
  <c r="E19" i="62" l="1"/>
  <c r="H38" i="61"/>
  <c r="E10" i="21"/>
  <c r="J20" i="22"/>
  <c r="J22" i="22"/>
  <c r="J21" i="22"/>
  <c r="J18" i="22"/>
  <c r="J14" i="22"/>
  <c r="J10" i="22"/>
  <c r="J15" i="22"/>
  <c r="J11" i="22"/>
  <c r="J16" i="22"/>
  <c r="J19" i="22"/>
  <c r="J17" i="22"/>
  <c r="K4" i="22"/>
  <c r="J12" i="22"/>
  <c r="J9" i="22"/>
  <c r="J8" i="22"/>
  <c r="J13" i="22"/>
  <c r="G34" i="42"/>
  <c r="H273" i="53"/>
  <c r="F32" i="21" s="1"/>
  <c r="I23" i="22"/>
  <c r="F35" i="21" s="1"/>
  <c r="H27" i="42"/>
  <c r="H28" i="42"/>
  <c r="H21" i="42"/>
  <c r="H23" i="42" s="1"/>
  <c r="I17" i="42"/>
  <c r="H29" i="42"/>
  <c r="H37" i="42"/>
  <c r="H43" i="42" s="1"/>
  <c r="F30" i="21" s="1"/>
  <c r="E154" i="29"/>
  <c r="E169" i="29"/>
  <c r="E139" i="29"/>
  <c r="E31" i="29"/>
  <c r="E124" i="29"/>
  <c r="J124" i="53"/>
  <c r="I219" i="53"/>
  <c r="I152" i="53"/>
  <c r="I267" i="53"/>
  <c r="I266" i="53"/>
  <c r="I205" i="53"/>
  <c r="I214" i="53"/>
  <c r="I243" i="53"/>
  <c r="I265" i="53"/>
  <c r="I268" i="53"/>
  <c r="G185" i="84"/>
  <c r="E33" i="21" s="1"/>
  <c r="E36" i="21" s="1"/>
  <c r="B21" i="21"/>
  <c r="E48" i="61"/>
  <c r="C21" i="21"/>
  <c r="G35" i="61"/>
  <c r="E35" i="61"/>
  <c r="F48" i="61"/>
  <c r="E69" i="48"/>
  <c r="H49" i="48"/>
  <c r="E11" i="21" s="1"/>
  <c r="H59" i="48"/>
  <c r="H48" i="61" s="1"/>
  <c r="D39" i="22"/>
  <c r="E39" i="22" s="1"/>
  <c r="F39" i="22" s="1"/>
  <c r="G39" i="22" s="1"/>
  <c r="H39" i="22" s="1"/>
  <c r="I39" i="22" s="1"/>
  <c r="C40" i="22"/>
  <c r="D37" i="22" s="1"/>
  <c r="D40" i="22" s="1"/>
  <c r="E37" i="22" s="1"/>
  <c r="E40" i="22" s="1"/>
  <c r="F37" i="22" s="1"/>
  <c r="F40" i="22" s="1"/>
  <c r="G37" i="22" s="1"/>
  <c r="G40" i="22" s="1"/>
  <c r="H37" i="22" s="1"/>
  <c r="H40" i="22" s="1"/>
  <c r="I37" i="22" s="1"/>
  <c r="I40" i="22" s="1"/>
  <c r="D58" i="22"/>
  <c r="E55" i="22" s="1"/>
  <c r="E58" i="22" s="1"/>
  <c r="F55" i="22" s="1"/>
  <c r="F58" i="22" s="1"/>
  <c r="G55" i="22" s="1"/>
  <c r="G58" i="22" s="1"/>
  <c r="H55" i="22" s="1"/>
  <c r="H58" i="22" s="1"/>
  <c r="I55" i="22" s="1"/>
  <c r="I58" i="22" s="1"/>
  <c r="E57" i="22"/>
  <c r="F57" i="22" s="1"/>
  <c r="G57" i="22" s="1"/>
  <c r="H57" i="22" s="1"/>
  <c r="I57" i="22" s="1"/>
  <c r="K58" i="22"/>
  <c r="L55" i="22" s="1"/>
  <c r="L56" i="22" s="1"/>
  <c r="L58" i="22" s="1"/>
  <c r="M55" i="22" s="1"/>
  <c r="K40" i="22"/>
  <c r="L37" i="22" s="1"/>
  <c r="L38" i="22" s="1"/>
  <c r="D105" i="83"/>
  <c r="D36" i="53"/>
  <c r="D89" i="53" s="1"/>
  <c r="D221" i="53"/>
  <c r="D154" i="53"/>
  <c r="B34" i="84"/>
  <c r="B62" i="84" s="1"/>
  <c r="C95" i="83"/>
  <c r="C28" i="53"/>
  <c r="C81" i="53" s="1"/>
  <c r="C111" i="81"/>
  <c r="D124" i="83"/>
  <c r="D55" i="53"/>
  <c r="D108" i="53" s="1"/>
  <c r="C19" i="53"/>
  <c r="C72" i="53" s="1"/>
  <c r="C102" i="81"/>
  <c r="C67" i="81"/>
  <c r="D126" i="83"/>
  <c r="D57" i="53"/>
  <c r="D110" i="53" s="1"/>
  <c r="B56" i="83"/>
  <c r="B84" i="83"/>
  <c r="C52" i="53"/>
  <c r="C105" i="53" s="1"/>
  <c r="D173" i="53" s="1"/>
  <c r="C121" i="83"/>
  <c r="B44" i="84"/>
  <c r="D137" i="53"/>
  <c r="D204" i="53"/>
  <c r="B90" i="83"/>
  <c r="B62" i="83"/>
  <c r="D160" i="53"/>
  <c r="D227" i="53"/>
  <c r="B17" i="84"/>
  <c r="B48" i="84" s="1"/>
  <c r="C78" i="83"/>
  <c r="B16" i="84"/>
  <c r="B47" i="84" s="1"/>
  <c r="C77" i="83"/>
  <c r="G41" i="84"/>
  <c r="G44" i="84" s="1"/>
  <c r="H40" i="84"/>
  <c r="H41" i="84" s="1"/>
  <c r="H44" i="84" s="1"/>
  <c r="I40" i="48"/>
  <c r="I33" i="48"/>
  <c r="I37" i="48"/>
  <c r="J27" i="48"/>
  <c r="I54" i="48"/>
  <c r="I38" i="48"/>
  <c r="I62" i="48"/>
  <c r="I66" i="48" s="1"/>
  <c r="F31" i="21" s="1"/>
  <c r="I34" i="48"/>
  <c r="I39" i="48"/>
  <c r="I48" i="48"/>
  <c r="I32" i="48"/>
  <c r="I36" i="48"/>
  <c r="I35" i="48"/>
  <c r="I53" i="48"/>
  <c r="B80" i="81"/>
  <c r="B55" i="81"/>
  <c r="B57" i="83"/>
  <c r="B85" i="83"/>
  <c r="B15" i="72"/>
  <c r="B39" i="72" s="1"/>
  <c r="C69" i="81"/>
  <c r="D156" i="53"/>
  <c r="D223" i="53"/>
  <c r="B41" i="72"/>
  <c r="C71" i="81"/>
  <c r="B58" i="55"/>
  <c r="B115" i="55" s="1"/>
  <c r="C69" i="83"/>
  <c r="E146" i="29"/>
  <c r="E176" i="29"/>
  <c r="E131" i="29"/>
  <c r="E161" i="29"/>
  <c r="E23" i="68"/>
  <c r="D157" i="53"/>
  <c r="D224" i="53"/>
  <c r="B18" i="72"/>
  <c r="B42" i="72" s="1"/>
  <c r="C72" i="81"/>
  <c r="B43" i="55"/>
  <c r="B100" i="55" s="1"/>
  <c r="C54" i="83"/>
  <c r="D95" i="81"/>
  <c r="D12" i="53"/>
  <c r="D65" i="53" s="1"/>
  <c r="D176" i="53"/>
  <c r="D240" i="53"/>
  <c r="D178" i="53"/>
  <c r="D242" i="53"/>
  <c r="I149" i="84"/>
  <c r="H181" i="84"/>
  <c r="H180" i="84"/>
  <c r="B14" i="72"/>
  <c r="B38" i="72" s="1"/>
  <c r="C68" i="81"/>
  <c r="B62" i="81"/>
  <c r="B87" i="81"/>
  <c r="C87" i="81" s="1"/>
  <c r="D87" i="81" s="1"/>
  <c r="E87" i="81" s="1"/>
  <c r="F87" i="81" s="1"/>
  <c r="G87" i="81" s="1"/>
  <c r="H87" i="81" s="1"/>
  <c r="C49" i="53"/>
  <c r="C102" i="53" s="1"/>
  <c r="C118" i="83"/>
  <c r="D97" i="81"/>
  <c r="D14" i="53"/>
  <c r="D67" i="53" s="1"/>
  <c r="B55" i="83"/>
  <c r="B83" i="83"/>
  <c r="B39" i="55"/>
  <c r="B96" i="55" s="1"/>
  <c r="C50" i="83"/>
  <c r="D103" i="83"/>
  <c r="D34" i="53"/>
  <c r="D87" i="53" s="1"/>
  <c r="C128" i="55"/>
  <c r="E186" i="55" s="1"/>
  <c r="E241" i="55"/>
  <c r="D201" i="53"/>
  <c r="D134" i="53"/>
  <c r="C70" i="83"/>
  <c r="B59" i="55"/>
  <c r="B116" i="55" s="1"/>
  <c r="C44" i="53"/>
  <c r="C97" i="53" s="1"/>
  <c r="C113" i="83"/>
  <c r="B13" i="55"/>
  <c r="B70" i="55" s="1"/>
  <c r="C44" i="81"/>
  <c r="D49" i="22"/>
  <c r="B56" i="81"/>
  <c r="B81" i="81"/>
  <c r="K62" i="22"/>
  <c r="K63" i="22" s="1"/>
  <c r="J279" i="55"/>
  <c r="J254" i="55"/>
  <c r="J280" i="55"/>
  <c r="J255" i="55"/>
  <c r="J199" i="55"/>
  <c r="J294" i="55"/>
  <c r="J301" i="55" s="1"/>
  <c r="H28" i="21" s="1"/>
  <c r="J221" i="55"/>
  <c r="J223" i="55"/>
  <c r="J222" i="55"/>
  <c r="B54" i="81"/>
  <c r="B79" i="81"/>
  <c r="D106" i="83"/>
  <c r="D37" i="53"/>
  <c r="D90" i="53" s="1"/>
  <c r="C47" i="81"/>
  <c r="B16" i="55"/>
  <c r="B73" i="55" s="1"/>
  <c r="F113" i="81"/>
  <c r="F30" i="53"/>
  <c r="F83" i="53" s="1"/>
  <c r="D133" i="53"/>
  <c r="D200" i="53"/>
  <c r="C25" i="53"/>
  <c r="C78" i="53" s="1"/>
  <c r="C108" i="81"/>
  <c r="B20" i="84"/>
  <c r="B51" i="84" s="1"/>
  <c r="C81" i="83"/>
  <c r="B60" i="83"/>
  <c r="B88" i="83"/>
  <c r="B19" i="84"/>
  <c r="B50" i="84" s="1"/>
  <c r="C80" i="83"/>
  <c r="B12" i="55"/>
  <c r="B69" i="55" s="1"/>
  <c r="C43" i="81"/>
  <c r="B14" i="84"/>
  <c r="B45" i="84" s="1"/>
  <c r="C75" i="83"/>
  <c r="C29" i="53"/>
  <c r="C82" i="53" s="1"/>
  <c r="C112" i="81"/>
  <c r="C24" i="53"/>
  <c r="C77" i="53" s="1"/>
  <c r="C107" i="81"/>
  <c r="D107" i="83"/>
  <c r="D38" i="53"/>
  <c r="D91" i="53" s="1"/>
  <c r="D135" i="53"/>
  <c r="D202" i="53"/>
  <c r="B18" i="55"/>
  <c r="B75" i="55" s="1"/>
  <c r="C49" i="81"/>
  <c r="B37" i="55"/>
  <c r="B94" i="55" s="1"/>
  <c r="C48" i="83"/>
  <c r="B51" i="81"/>
  <c r="B76" i="81"/>
  <c r="C42" i="53"/>
  <c r="C95" i="53" s="1"/>
  <c r="C111" i="83"/>
  <c r="B34" i="69"/>
  <c r="C34" i="69" s="1"/>
  <c r="D34" i="69" s="1"/>
  <c r="E34" i="69" s="1"/>
  <c r="F34" i="69" s="1"/>
  <c r="G34" i="69" s="1"/>
  <c r="H34" i="69" s="1"/>
  <c r="C9" i="68"/>
  <c r="D94" i="81"/>
  <c r="D11" i="53"/>
  <c r="D64" i="53" s="1"/>
  <c r="C51" i="53"/>
  <c r="C104" i="53" s="1"/>
  <c r="D172" i="53" s="1"/>
  <c r="C120" i="83"/>
  <c r="D162" i="53"/>
  <c r="D229" i="53"/>
  <c r="D155" i="53"/>
  <c r="D222" i="53"/>
  <c r="B16" i="72"/>
  <c r="B40" i="72" s="1"/>
  <c r="C70" i="81"/>
  <c r="E50" i="81"/>
  <c r="D19" i="55"/>
  <c r="D76" i="55" s="1"/>
  <c r="B53" i="81"/>
  <c r="B78" i="81"/>
  <c r="D109" i="83"/>
  <c r="D40" i="53"/>
  <c r="D93" i="53" s="1"/>
  <c r="B61" i="83"/>
  <c r="B89" i="83"/>
  <c r="D125" i="83"/>
  <c r="D56" i="53"/>
  <c r="D109" i="53" s="1"/>
  <c r="H33" i="72"/>
  <c r="H34" i="72" s="1"/>
  <c r="G34" i="72"/>
  <c r="C23" i="53"/>
  <c r="C76" i="53" s="1"/>
  <c r="C106" i="81"/>
  <c r="D63" i="22"/>
  <c r="E63" i="22" s="1"/>
  <c r="F63" i="22" s="1"/>
  <c r="G63" i="22" s="1"/>
  <c r="H63" i="22" s="1"/>
  <c r="I63" i="22" s="1"/>
  <c r="B58" i="83"/>
  <c r="B86" i="83"/>
  <c r="D175" i="53"/>
  <c r="D239" i="53"/>
  <c r="B19" i="72"/>
  <c r="B43" i="72" s="1"/>
  <c r="C73" i="81"/>
  <c r="C74" i="53"/>
  <c r="C104" i="81"/>
  <c r="B18" i="84"/>
  <c r="B49" i="84" s="1"/>
  <c r="C79" i="83"/>
  <c r="D136" i="53"/>
  <c r="D203" i="53"/>
  <c r="C155" i="29"/>
  <c r="C140" i="29"/>
  <c r="C125" i="29"/>
  <c r="C170" i="29"/>
  <c r="C32" i="29"/>
  <c r="C53" i="53"/>
  <c r="C106" i="53" s="1"/>
  <c r="D174" i="53" s="1"/>
  <c r="C122" i="83"/>
  <c r="B30" i="55"/>
  <c r="B87" i="55" s="1"/>
  <c r="C61" i="81"/>
  <c r="D92" i="81"/>
  <c r="D62" i="53"/>
  <c r="C46" i="53"/>
  <c r="C99" i="53" s="1"/>
  <c r="C115" i="83"/>
  <c r="D131" i="53"/>
  <c r="D198" i="53"/>
  <c r="B59" i="81"/>
  <c r="B84" i="81"/>
  <c r="B35" i="84"/>
  <c r="B63" i="84" s="1"/>
  <c r="C96" i="83"/>
  <c r="D96" i="81"/>
  <c r="D13" i="53"/>
  <c r="D66" i="53" s="1"/>
  <c r="B37" i="84"/>
  <c r="B65" i="84" s="1"/>
  <c r="C98" i="83"/>
  <c r="E170" i="29"/>
  <c r="E140" i="29"/>
  <c r="E125" i="29"/>
  <c r="E155" i="29"/>
  <c r="E32" i="29"/>
  <c r="G48" i="61"/>
  <c r="D21" i="21"/>
  <c r="G67" i="48"/>
  <c r="G69" i="48" s="1"/>
  <c r="B60" i="81"/>
  <c r="B85" i="81"/>
  <c r="B58" i="81"/>
  <c r="B83" i="81"/>
  <c r="F35" i="61"/>
  <c r="C11" i="21"/>
  <c r="F69" i="48"/>
  <c r="C43" i="53"/>
  <c r="C96" i="53" s="1"/>
  <c r="C112" i="83"/>
  <c r="B41" i="55"/>
  <c r="B98" i="55" s="1"/>
  <c r="C52" i="83"/>
  <c r="B36" i="55"/>
  <c r="B93" i="55" s="1"/>
  <c r="C47" i="83"/>
  <c r="B57" i="81"/>
  <c r="B82" i="81"/>
  <c r="B20" i="72"/>
  <c r="B44" i="72" s="1"/>
  <c r="C74" i="81"/>
  <c r="D130" i="53"/>
  <c r="D197" i="53"/>
  <c r="C44" i="22"/>
  <c r="C45" i="22" s="1"/>
  <c r="D44" i="22"/>
  <c r="D66" i="22" s="1"/>
  <c r="H44" i="22"/>
  <c r="H66" i="22" s="1"/>
  <c r="G44" i="22"/>
  <c r="G66" i="22" s="1"/>
  <c r="K43" i="22"/>
  <c r="K65" i="22" s="1"/>
  <c r="F44" i="22"/>
  <c r="F66" i="22" s="1"/>
  <c r="E44" i="22"/>
  <c r="E66" i="22" s="1"/>
  <c r="I44" i="22"/>
  <c r="I66" i="22" s="1"/>
  <c r="B92" i="83"/>
  <c r="B64" i="83"/>
  <c r="C64" i="83" s="1"/>
  <c r="D64" i="83" s="1"/>
  <c r="E64" i="83" s="1"/>
  <c r="F64" i="83" s="1"/>
  <c r="G64" i="83" s="1"/>
  <c r="H64" i="83" s="1"/>
  <c r="D110" i="83"/>
  <c r="D41" i="53"/>
  <c r="D94" i="53" s="1"/>
  <c r="B14" i="55"/>
  <c r="B71" i="55" s="1"/>
  <c r="C45" i="81"/>
  <c r="C22" i="53"/>
  <c r="C75" i="53" s="1"/>
  <c r="C105" i="81"/>
  <c r="D104" i="83"/>
  <c r="D35" i="53"/>
  <c r="D88" i="53" s="1"/>
  <c r="D123" i="83"/>
  <c r="D54" i="53"/>
  <c r="D107" i="53" s="1"/>
  <c r="B63" i="83"/>
  <c r="B91" i="83"/>
  <c r="B21" i="84"/>
  <c r="B52" i="84" s="1"/>
  <c r="C82" i="83"/>
  <c r="D158" i="53"/>
  <c r="D225" i="53"/>
  <c r="C50" i="53"/>
  <c r="C103" i="53" s="1"/>
  <c r="C119" i="83"/>
  <c r="D21" i="72"/>
  <c r="D45" i="72" s="1"/>
  <c r="E75" i="81"/>
  <c r="D102" i="83"/>
  <c r="D33" i="53"/>
  <c r="D86" i="53" s="1"/>
  <c r="B56" i="55"/>
  <c r="B113" i="55" s="1"/>
  <c r="C67" i="83"/>
  <c r="F151" i="53"/>
  <c r="F218" i="53"/>
  <c r="C27" i="53"/>
  <c r="C80" i="53" s="1"/>
  <c r="C110" i="81"/>
  <c r="B52" i="81"/>
  <c r="B21" i="55" s="1"/>
  <c r="B77" i="81"/>
  <c r="B11" i="55"/>
  <c r="C42" i="81"/>
  <c r="B42" i="55"/>
  <c r="B99" i="55" s="1"/>
  <c r="C53" i="83"/>
  <c r="C47" i="53"/>
  <c r="C100" i="53" s="1"/>
  <c r="C116" i="83"/>
  <c r="B65" i="83"/>
  <c r="C65" i="83" s="1"/>
  <c r="D65" i="83" s="1"/>
  <c r="E65" i="83" s="1"/>
  <c r="F65" i="83" s="1"/>
  <c r="G65" i="83" s="1"/>
  <c r="H65" i="83" s="1"/>
  <c r="B93" i="83"/>
  <c r="B35" i="55"/>
  <c r="C46" i="83"/>
  <c r="D16" i="53"/>
  <c r="D69" i="53" s="1"/>
  <c r="D99" i="81"/>
  <c r="D98" i="81"/>
  <c r="D15" i="53"/>
  <c r="D68" i="53" s="1"/>
  <c r="D159" i="53"/>
  <c r="D226" i="53"/>
  <c r="D108" i="83"/>
  <c r="D39" i="53"/>
  <c r="D92" i="53" s="1"/>
  <c r="B66" i="83"/>
  <c r="C66" i="83" s="1"/>
  <c r="D66" i="83" s="1"/>
  <c r="E66" i="83" s="1"/>
  <c r="F66" i="83" s="1"/>
  <c r="G66" i="83" s="1"/>
  <c r="H66" i="83" s="1"/>
  <c r="B94" i="83"/>
  <c r="B15" i="84"/>
  <c r="B46" i="84" s="1"/>
  <c r="C76" i="83"/>
  <c r="C18" i="53"/>
  <c r="C71" i="53" s="1"/>
  <c r="C101" i="81"/>
  <c r="B59" i="83"/>
  <c r="B87" i="83"/>
  <c r="C10" i="68"/>
  <c r="D4" i="23"/>
  <c r="D132" i="53"/>
  <c r="D199" i="53"/>
  <c r="B38" i="55"/>
  <c r="B95" i="55" s="1"/>
  <c r="C49" i="83"/>
  <c r="D93" i="81"/>
  <c r="D10" i="53"/>
  <c r="D63" i="53" s="1"/>
  <c r="B57" i="55"/>
  <c r="B114" i="55" s="1"/>
  <c r="C68" i="83"/>
  <c r="C20" i="53"/>
  <c r="C73" i="53" s="1"/>
  <c r="C103" i="81"/>
  <c r="D161" i="53"/>
  <c r="D228" i="53"/>
  <c r="C48" i="53"/>
  <c r="C101" i="53" s="1"/>
  <c r="C117" i="83"/>
  <c r="D177" i="53"/>
  <c r="D241" i="53"/>
  <c r="K50" i="22"/>
  <c r="K52" i="22" s="1"/>
  <c r="C51" i="22"/>
  <c r="B15" i="55"/>
  <c r="B72" i="55" s="1"/>
  <c r="C46" i="81"/>
  <c r="C64" i="22"/>
  <c r="D61" i="22" s="1"/>
  <c r="D64" i="22" s="1"/>
  <c r="E61" i="22" s="1"/>
  <c r="E64" i="22" s="1"/>
  <c r="F61" i="22" s="1"/>
  <c r="F64" i="22" s="1"/>
  <c r="G61" i="22" s="1"/>
  <c r="G64" i="22" s="1"/>
  <c r="H61" i="22" s="1"/>
  <c r="H64" i="22" s="1"/>
  <c r="I61" i="22" s="1"/>
  <c r="I64" i="22" s="1"/>
  <c r="C45" i="53"/>
  <c r="C98" i="53" s="1"/>
  <c r="C114" i="83"/>
  <c r="B36" i="84"/>
  <c r="B64" i="84" s="1"/>
  <c r="C97" i="83"/>
  <c r="B17" i="55"/>
  <c r="B74" i="55" s="1"/>
  <c r="C48" i="81"/>
  <c r="B40" i="55"/>
  <c r="B97" i="55" s="1"/>
  <c r="C51" i="83"/>
  <c r="H185" i="84" l="1"/>
  <c r="F33" i="21" s="1"/>
  <c r="J243" i="53"/>
  <c r="J267" i="53"/>
  <c r="J205" i="53"/>
  <c r="J265" i="53"/>
  <c r="J214" i="53"/>
  <c r="J152" i="53"/>
  <c r="J266" i="53"/>
  <c r="J268" i="53"/>
  <c r="J219" i="53"/>
  <c r="I21" i="42"/>
  <c r="I23" i="42" s="1"/>
  <c r="I27" i="42"/>
  <c r="J17" i="42"/>
  <c r="I29" i="42"/>
  <c r="I28" i="42"/>
  <c r="I37" i="42"/>
  <c r="I43" i="42" s="1"/>
  <c r="G30" i="21" s="1"/>
  <c r="G45" i="42"/>
  <c r="G47" i="42" s="1"/>
  <c r="E20" i="21"/>
  <c r="H51" i="61"/>
  <c r="F36" i="21"/>
  <c r="G161" i="29" s="1"/>
  <c r="I273" i="53"/>
  <c r="G32" i="21" s="1"/>
  <c r="J23" i="22"/>
  <c r="G35" i="21" s="1"/>
  <c r="I38" i="61"/>
  <c r="F10" i="21"/>
  <c r="K17" i="22"/>
  <c r="K18" i="22"/>
  <c r="K22" i="22"/>
  <c r="K12" i="22"/>
  <c r="K9" i="22"/>
  <c r="K8" i="22"/>
  <c r="K15" i="22"/>
  <c r="K21" i="22"/>
  <c r="K16" i="22"/>
  <c r="K19" i="22"/>
  <c r="K14" i="22"/>
  <c r="K10" i="22"/>
  <c r="K20" i="22"/>
  <c r="K11" i="22"/>
  <c r="K13" i="22"/>
  <c r="F169" i="29"/>
  <c r="F124" i="29"/>
  <c r="F139" i="29"/>
  <c r="F31" i="29"/>
  <c r="F154" i="29"/>
  <c r="H34" i="42"/>
  <c r="H35" i="61"/>
  <c r="I59" i="48"/>
  <c r="I67" i="48" s="1"/>
  <c r="E21" i="21"/>
  <c r="I49" i="48"/>
  <c r="F11" i="21" s="1"/>
  <c r="H67" i="48"/>
  <c r="H69" i="48" s="1"/>
  <c r="L57" i="22"/>
  <c r="D45" i="22"/>
  <c r="E45" i="22" s="1"/>
  <c r="F45" i="22" s="1"/>
  <c r="G45" i="22" s="1"/>
  <c r="H45" i="22" s="1"/>
  <c r="I45" i="22" s="1"/>
  <c r="L40" i="22"/>
  <c r="M37" i="22" s="1"/>
  <c r="M38" i="22" s="1"/>
  <c r="L39" i="22"/>
  <c r="C66" i="22"/>
  <c r="B42" i="21" s="1"/>
  <c r="C46" i="22"/>
  <c r="D43" i="22" s="1"/>
  <c r="D46" i="22" s="1"/>
  <c r="E43" i="22" s="1"/>
  <c r="E46" i="22" s="1"/>
  <c r="F43" i="22" s="1"/>
  <c r="F46" i="22" s="1"/>
  <c r="G43" i="22" s="1"/>
  <c r="G46" i="22" s="1"/>
  <c r="H43" i="22" s="1"/>
  <c r="H46" i="22" s="1"/>
  <c r="I43" i="22" s="1"/>
  <c r="I46" i="22" s="1"/>
  <c r="F42" i="21"/>
  <c r="F14" i="69"/>
  <c r="D42" i="21"/>
  <c r="D14" i="69"/>
  <c r="M56" i="22"/>
  <c r="M58" i="22" s="1"/>
  <c r="N55" i="22" s="1"/>
  <c r="E14" i="69"/>
  <c r="E42" i="21"/>
  <c r="D51" i="83"/>
  <c r="C40" i="55"/>
  <c r="C97" i="55" s="1"/>
  <c r="D166" i="53"/>
  <c r="D233" i="53"/>
  <c r="L49" i="22"/>
  <c r="D276" i="55"/>
  <c r="B166" i="55"/>
  <c r="D225" i="55" s="1"/>
  <c r="D260" i="55"/>
  <c r="B147" i="55"/>
  <c r="D206" i="55" s="1"/>
  <c r="D139" i="53"/>
  <c r="D206" i="53"/>
  <c r="B23" i="72"/>
  <c r="B47" i="72" s="1"/>
  <c r="C77" i="81"/>
  <c r="B165" i="55"/>
  <c r="D224" i="55" s="1"/>
  <c r="D275" i="55"/>
  <c r="D143" i="53"/>
  <c r="D210" i="53"/>
  <c r="D164" i="53"/>
  <c r="D231" i="53"/>
  <c r="B29" i="72"/>
  <c r="B53" i="72" s="1"/>
  <c r="C83" i="81"/>
  <c r="E201" i="53"/>
  <c r="E134" i="53"/>
  <c r="D53" i="53"/>
  <c r="D106" i="53" s="1"/>
  <c r="E174" i="53" s="1"/>
  <c r="D122" i="83"/>
  <c r="D142" i="53"/>
  <c r="D209" i="53"/>
  <c r="B50" i="55"/>
  <c r="B107" i="55" s="1"/>
  <c r="C61" i="83"/>
  <c r="C16" i="72"/>
  <c r="C40" i="72" s="1"/>
  <c r="D70" i="81"/>
  <c r="E11" i="53"/>
  <c r="E64" i="53" s="1"/>
  <c r="E94" i="81"/>
  <c r="D75" i="83"/>
  <c r="C14" i="84"/>
  <c r="D81" i="83"/>
  <c r="C20" i="84"/>
  <c r="C51" i="84" s="1"/>
  <c r="D238" i="55"/>
  <c r="B125" i="55"/>
  <c r="D183" i="55" s="1"/>
  <c r="B49" i="72"/>
  <c r="C79" i="81"/>
  <c r="D170" i="53"/>
  <c r="D237" i="53"/>
  <c r="I181" i="84"/>
  <c r="J149" i="84"/>
  <c r="I180" i="84"/>
  <c r="D54" i="83"/>
  <c r="C43" i="55"/>
  <c r="C100" i="55" s="1"/>
  <c r="B167" i="55"/>
  <c r="D226" i="55" s="1"/>
  <c r="D277" i="55"/>
  <c r="B26" i="72"/>
  <c r="B50" i="72" s="1"/>
  <c r="C80" i="81"/>
  <c r="I35" i="61"/>
  <c r="D140" i="53"/>
  <c r="D207" i="53"/>
  <c r="D97" i="83"/>
  <c r="C36" i="84"/>
  <c r="C64" i="84" s="1"/>
  <c r="D51" i="22"/>
  <c r="C67" i="22"/>
  <c r="D117" i="83"/>
  <c r="D48" i="53"/>
  <c r="D101" i="53" s="1"/>
  <c r="E131" i="53"/>
  <c r="E198" i="53"/>
  <c r="B26" i="84"/>
  <c r="B57" i="84" s="1"/>
  <c r="C87" i="83"/>
  <c r="E227" i="53"/>
  <c r="E160" i="53"/>
  <c r="C35" i="55"/>
  <c r="D46" i="83"/>
  <c r="D264" i="55"/>
  <c r="B151" i="55"/>
  <c r="D210" i="55" s="1"/>
  <c r="C119" i="53"/>
  <c r="B28" i="72"/>
  <c r="B52" i="72" s="1"/>
  <c r="C82" i="81"/>
  <c r="B27" i="55"/>
  <c r="B84" i="55" s="1"/>
  <c r="C58" i="81"/>
  <c r="B28" i="55"/>
  <c r="B85" i="55" s="1"/>
  <c r="C59" i="81"/>
  <c r="E62" i="53"/>
  <c r="E92" i="81"/>
  <c r="D79" i="83"/>
  <c r="C18" i="84"/>
  <c r="C49" i="84" s="1"/>
  <c r="D73" i="81"/>
  <c r="C19" i="72"/>
  <c r="C43" i="72" s="1"/>
  <c r="E228" i="53"/>
  <c r="E161" i="53"/>
  <c r="B70" i="72"/>
  <c r="D142" i="72" s="1"/>
  <c r="D155" i="72"/>
  <c r="B71" i="72"/>
  <c r="D120" i="83"/>
  <c r="D51" i="53"/>
  <c r="D104" i="53" s="1"/>
  <c r="E172" i="53" s="1"/>
  <c r="B146" i="55"/>
  <c r="D205" i="55" s="1"/>
  <c r="D259" i="55"/>
  <c r="D145" i="53"/>
  <c r="D212" i="53"/>
  <c r="D47" i="81"/>
  <c r="C16" i="55"/>
  <c r="C73" i="55" s="1"/>
  <c r="B23" i="55"/>
  <c r="B80" i="55" s="1"/>
  <c r="C54" i="81"/>
  <c r="B27" i="72"/>
  <c r="B51" i="72" s="1"/>
  <c r="C81" i="81"/>
  <c r="B168" i="55"/>
  <c r="D227" i="55" s="1"/>
  <c r="D278" i="55"/>
  <c r="C39" i="55"/>
  <c r="C96" i="55" s="1"/>
  <c r="D50" i="83"/>
  <c r="E135" i="53"/>
  <c r="E202" i="53"/>
  <c r="B152" i="55"/>
  <c r="D211" i="55" s="1"/>
  <c r="D265" i="55"/>
  <c r="B51" i="55"/>
  <c r="B108" i="55" s="1"/>
  <c r="C62" i="83"/>
  <c r="B23" i="84"/>
  <c r="B54" i="84" s="1"/>
  <c r="C84" i="83"/>
  <c r="D67" i="81"/>
  <c r="E240" i="53"/>
  <c r="E176" i="53"/>
  <c r="E224" i="53"/>
  <c r="E157" i="53"/>
  <c r="D48" i="81"/>
  <c r="C17" i="55"/>
  <c r="C74" i="55" s="1"/>
  <c r="H14" i="69"/>
  <c r="H42" i="21"/>
  <c r="D169" i="53"/>
  <c r="D236" i="53"/>
  <c r="D141" i="53"/>
  <c r="D208" i="53"/>
  <c r="E93" i="81"/>
  <c r="E10" i="53"/>
  <c r="E63" i="53" s="1"/>
  <c r="B48" i="55"/>
  <c r="B105" i="55" s="1"/>
  <c r="C59" i="83"/>
  <c r="E39" i="53"/>
  <c r="E92" i="53" s="1"/>
  <c r="E108" i="83"/>
  <c r="E15" i="53"/>
  <c r="E68" i="53" s="1"/>
  <c r="E98" i="81"/>
  <c r="B92" i="55"/>
  <c r="D116" i="83"/>
  <c r="D47" i="53"/>
  <c r="D100" i="53" s="1"/>
  <c r="C11" i="55"/>
  <c r="D42" i="81"/>
  <c r="D110" i="81"/>
  <c r="D27" i="53"/>
  <c r="D80" i="53" s="1"/>
  <c r="E102" i="83"/>
  <c r="E33" i="53"/>
  <c r="E86" i="53" s="1"/>
  <c r="D119" i="83"/>
  <c r="D50" i="53"/>
  <c r="D103" i="53" s="1"/>
  <c r="B30" i="84"/>
  <c r="B61" i="84" s="1"/>
  <c r="C91" i="83"/>
  <c r="E123" i="83"/>
  <c r="E54" i="53"/>
  <c r="E107" i="53" s="1"/>
  <c r="B123" i="55"/>
  <c r="D181" i="55" s="1"/>
  <c r="D236" i="55"/>
  <c r="B31" i="84"/>
  <c r="C92" i="83"/>
  <c r="K44" i="22"/>
  <c r="K45" i="22" s="1"/>
  <c r="C118" i="53"/>
  <c r="C115" i="53"/>
  <c r="B26" i="55"/>
  <c r="B83" i="55" s="1"/>
  <c r="C57" i="81"/>
  <c r="D263" i="55"/>
  <c r="B150" i="55"/>
  <c r="D209" i="55" s="1"/>
  <c r="D155" i="29"/>
  <c r="D140" i="29"/>
  <c r="D125" i="29"/>
  <c r="D32" i="29"/>
  <c r="D170" i="29"/>
  <c r="B31" i="72"/>
  <c r="B55" i="72" s="1"/>
  <c r="C85" i="81"/>
  <c r="C37" i="84"/>
  <c r="C65" i="84" s="1"/>
  <c r="D98" i="83"/>
  <c r="D96" i="83"/>
  <c r="C35" i="84"/>
  <c r="C63" i="84" s="1"/>
  <c r="D115" i="83"/>
  <c r="D46" i="53"/>
  <c r="D99" i="53" s="1"/>
  <c r="D61" i="81"/>
  <c r="C30" i="55"/>
  <c r="C87" i="55" s="1"/>
  <c r="C86" i="83"/>
  <c r="B25" i="84"/>
  <c r="B56" i="84" s="1"/>
  <c r="D106" i="81"/>
  <c r="D23" i="53"/>
  <c r="D76" i="53" s="1"/>
  <c r="E125" i="83"/>
  <c r="E56" i="53"/>
  <c r="E109" i="53" s="1"/>
  <c r="E109" i="83"/>
  <c r="E40" i="53"/>
  <c r="E93" i="53" s="1"/>
  <c r="D128" i="55"/>
  <c r="F186" i="55" s="1"/>
  <c r="F241" i="55"/>
  <c r="B22" i="72"/>
  <c r="B46" i="72" s="1"/>
  <c r="C76" i="81"/>
  <c r="D49" i="81"/>
  <c r="C18" i="55"/>
  <c r="C75" i="55" s="1"/>
  <c r="E159" i="53"/>
  <c r="E226" i="53"/>
  <c r="D112" i="81"/>
  <c r="D29" i="53"/>
  <c r="D82" i="53" s="1"/>
  <c r="D43" i="81"/>
  <c r="C12" i="55"/>
  <c r="C69" i="55" s="1"/>
  <c r="B27" i="84"/>
  <c r="B58" i="84" s="1"/>
  <c r="C88" i="83"/>
  <c r="D25" i="53"/>
  <c r="D78" i="53" s="1"/>
  <c r="D108" i="81"/>
  <c r="G218" i="53"/>
  <c r="G151" i="53"/>
  <c r="E158" i="53"/>
  <c r="E225" i="53"/>
  <c r="B25" i="55"/>
  <c r="B82" i="55" s="1"/>
  <c r="C56" i="81"/>
  <c r="B122" i="55"/>
  <c r="D180" i="55" s="1"/>
  <c r="D235" i="55"/>
  <c r="D70" i="83"/>
  <c r="C59" i="55"/>
  <c r="C116" i="55" s="1"/>
  <c r="B148" i="55"/>
  <c r="D207" i="55" s="1"/>
  <c r="D261" i="55"/>
  <c r="E97" i="81"/>
  <c r="E14" i="53"/>
  <c r="E67" i="53" s="1"/>
  <c r="B31" i="55"/>
  <c r="B88" i="55" s="1"/>
  <c r="C62" i="81"/>
  <c r="E200" i="53"/>
  <c r="E133" i="53"/>
  <c r="D72" i="81"/>
  <c r="C18" i="72"/>
  <c r="C42" i="72" s="1"/>
  <c r="D71" i="81"/>
  <c r="C41" i="72"/>
  <c r="C57" i="83"/>
  <c r="B46" i="55"/>
  <c r="B103" i="55" s="1"/>
  <c r="D77" i="83"/>
  <c r="C16" i="84"/>
  <c r="C47" i="84" s="1"/>
  <c r="B29" i="84"/>
  <c r="B60" i="84" s="1"/>
  <c r="C90" i="83"/>
  <c r="B45" i="55"/>
  <c r="B102" i="55" s="1"/>
  <c r="C56" i="83"/>
  <c r="B37" i="72"/>
  <c r="E124" i="83"/>
  <c r="E55" i="53"/>
  <c r="E108" i="53" s="1"/>
  <c r="B124" i="84"/>
  <c r="B141" i="84" s="1"/>
  <c r="D167" i="84"/>
  <c r="B125" i="84"/>
  <c r="B142" i="84" s="1"/>
  <c r="D155" i="84" s="1"/>
  <c r="B126" i="84"/>
  <c r="B143" i="84" s="1"/>
  <c r="D156" i="84" s="1"/>
  <c r="D164" i="84"/>
  <c r="D163" i="84"/>
  <c r="E105" i="83"/>
  <c r="E36" i="53"/>
  <c r="E89" i="53" s="1"/>
  <c r="F140" i="29"/>
  <c r="F125" i="29"/>
  <c r="F170" i="29"/>
  <c r="F32" i="29"/>
  <c r="F155" i="29"/>
  <c r="B124" i="55"/>
  <c r="D182" i="55" s="1"/>
  <c r="D237" i="55"/>
  <c r="E204" i="53"/>
  <c r="E137" i="53"/>
  <c r="D53" i="83"/>
  <c r="C42" i="55"/>
  <c r="C99" i="55" s="1"/>
  <c r="D82" i="83"/>
  <c r="C21" i="84"/>
  <c r="C52" i="84" s="1"/>
  <c r="E104" i="83"/>
  <c r="E35" i="53"/>
  <c r="E88" i="53" s="1"/>
  <c r="E110" i="83"/>
  <c r="E41" i="53"/>
  <c r="E94" i="53" s="1"/>
  <c r="B145" i="55"/>
  <c r="D204" i="55" s="1"/>
  <c r="D258" i="55"/>
  <c r="B30" i="72"/>
  <c r="B54" i="72" s="1"/>
  <c r="C84" i="81"/>
  <c r="E197" i="53"/>
  <c r="E130" i="53"/>
  <c r="G42" i="21"/>
  <c r="G14" i="69"/>
  <c r="B22" i="55"/>
  <c r="B79" i="55" s="1"/>
  <c r="C53" i="81"/>
  <c r="D111" i="83"/>
  <c r="D42" i="53"/>
  <c r="D95" i="53" s="1"/>
  <c r="D48" i="83"/>
  <c r="C37" i="55"/>
  <c r="C94" i="55" s="1"/>
  <c r="D107" i="81"/>
  <c r="D24" i="53"/>
  <c r="D77" i="53" s="1"/>
  <c r="D80" i="83"/>
  <c r="C19" i="84"/>
  <c r="C50" i="84" s="1"/>
  <c r="D165" i="53"/>
  <c r="D232" i="53"/>
  <c r="E34" i="53"/>
  <c r="E87" i="53" s="1"/>
  <c r="E103" i="83"/>
  <c r="B44" i="55"/>
  <c r="B101" i="55" s="1"/>
  <c r="C55" i="83"/>
  <c r="B63" i="72"/>
  <c r="D153" i="72"/>
  <c r="B64" i="72"/>
  <c r="G131" i="29"/>
  <c r="G176" i="29"/>
  <c r="D78" i="83"/>
  <c r="C17" i="84"/>
  <c r="C48" i="84" s="1"/>
  <c r="E126" i="83"/>
  <c r="E57" i="53"/>
  <c r="E110" i="53" s="1"/>
  <c r="D149" i="53"/>
  <c r="D216" i="53"/>
  <c r="B149" i="55"/>
  <c r="D208" i="55" s="1"/>
  <c r="D262" i="55"/>
  <c r="K51" i="22"/>
  <c r="D103" i="81"/>
  <c r="D20" i="53"/>
  <c r="D73" i="53" s="1"/>
  <c r="D76" i="83"/>
  <c r="C15" i="84"/>
  <c r="C46" i="84" s="1"/>
  <c r="E136" i="53"/>
  <c r="E203" i="53"/>
  <c r="B78" i="55"/>
  <c r="C52" i="81"/>
  <c r="E154" i="53"/>
  <c r="E221" i="53"/>
  <c r="E239" i="53"/>
  <c r="E175" i="53"/>
  <c r="C14" i="69"/>
  <c r="C42" i="21"/>
  <c r="D45" i="81"/>
  <c r="C14" i="55"/>
  <c r="C71" i="55" s="1"/>
  <c r="C114" i="53"/>
  <c r="D52" i="83"/>
  <c r="C41" i="55"/>
  <c r="C98" i="55" s="1"/>
  <c r="E96" i="81"/>
  <c r="E13" i="53"/>
  <c r="E66" i="53" s="1"/>
  <c r="E241" i="53"/>
  <c r="E177" i="53"/>
  <c r="F146" i="29"/>
  <c r="F176" i="29"/>
  <c r="F131" i="29"/>
  <c r="F161" i="29"/>
  <c r="F23" i="68"/>
  <c r="D163" i="53"/>
  <c r="D230" i="53"/>
  <c r="C13" i="55"/>
  <c r="C70" i="55" s="1"/>
  <c r="D44" i="81"/>
  <c r="B24" i="84"/>
  <c r="B55" i="84" s="1"/>
  <c r="C85" i="83"/>
  <c r="C34" i="84"/>
  <c r="C62" i="84" s="1"/>
  <c r="D95" i="83"/>
  <c r="B126" i="55"/>
  <c r="D184" i="55" s="1"/>
  <c r="D239" i="55"/>
  <c r="D114" i="83"/>
  <c r="D45" i="53"/>
  <c r="D98" i="53" s="1"/>
  <c r="D46" i="81"/>
  <c r="C15" i="55"/>
  <c r="C72" i="55" s="1"/>
  <c r="D68" i="83"/>
  <c r="C57" i="55"/>
  <c r="C114" i="55" s="1"/>
  <c r="D49" i="83"/>
  <c r="C38" i="55"/>
  <c r="C95" i="55" s="1"/>
  <c r="D8" i="23"/>
  <c r="C10" i="23"/>
  <c r="D101" i="81"/>
  <c r="D18" i="53"/>
  <c r="D71" i="53" s="1"/>
  <c r="B33" i="84"/>
  <c r="C94" i="83"/>
  <c r="E99" i="81"/>
  <c r="E16" i="53"/>
  <c r="E69" i="53" s="1"/>
  <c r="B32" i="84"/>
  <c r="C93" i="83"/>
  <c r="D168" i="53"/>
  <c r="D235" i="53"/>
  <c r="B68" i="55"/>
  <c r="D148" i="53"/>
  <c r="D215" i="53"/>
  <c r="C56" i="55"/>
  <c r="C113" i="55" s="1"/>
  <c r="D67" i="83"/>
  <c r="E21" i="72"/>
  <c r="E45" i="72" s="1"/>
  <c r="F75" i="81"/>
  <c r="D171" i="53"/>
  <c r="D238" i="53"/>
  <c r="B52" i="55"/>
  <c r="B109" i="55" s="1"/>
  <c r="C63" i="83"/>
  <c r="E223" i="53"/>
  <c r="E156" i="53"/>
  <c r="D22" i="53"/>
  <c r="D75" i="53" s="1"/>
  <c r="D105" i="81"/>
  <c r="E162" i="53"/>
  <c r="E229" i="53"/>
  <c r="C116" i="53"/>
  <c r="D74" i="81"/>
  <c r="C20" i="72"/>
  <c r="C44" i="72" s="1"/>
  <c r="D47" i="83"/>
  <c r="C36" i="55"/>
  <c r="C93" i="55" s="1"/>
  <c r="D112" i="83"/>
  <c r="D43" i="53"/>
  <c r="D96" i="53" s="1"/>
  <c r="B29" i="55"/>
  <c r="B86" i="55" s="1"/>
  <c r="C60" i="81"/>
  <c r="D234" i="53"/>
  <c r="D167" i="53"/>
  <c r="B139" i="55"/>
  <c r="D197" i="55" s="1"/>
  <c r="D252" i="55"/>
  <c r="D104" i="81"/>
  <c r="D74" i="53"/>
  <c r="B47" i="55"/>
  <c r="B104" i="55" s="1"/>
  <c r="C58" i="83"/>
  <c r="D144" i="53"/>
  <c r="D211" i="53"/>
  <c r="B28" i="84"/>
  <c r="B59" i="84" s="1"/>
  <c r="C89" i="83"/>
  <c r="B48" i="72"/>
  <c r="C78" i="81"/>
  <c r="E19" i="55"/>
  <c r="E76" i="55" s="1"/>
  <c r="F50" i="81"/>
  <c r="E132" i="53"/>
  <c r="E199" i="53"/>
  <c r="B20" i="55"/>
  <c r="B77" i="55" s="1"/>
  <c r="C51" i="81"/>
  <c r="D240" i="55"/>
  <c r="B127" i="55"/>
  <c r="D185" i="55" s="1"/>
  <c r="E107" i="83"/>
  <c r="E38" i="53"/>
  <c r="E91" i="53" s="1"/>
  <c r="D150" i="53"/>
  <c r="D217" i="53"/>
  <c r="B121" i="55"/>
  <c r="D179" i="55" s="1"/>
  <c r="D234" i="55"/>
  <c r="B49" i="55"/>
  <c r="B106" i="55" s="1"/>
  <c r="C60" i="83"/>
  <c r="D146" i="53"/>
  <c r="D213" i="53"/>
  <c r="G113" i="81"/>
  <c r="G30" i="53"/>
  <c r="G83" i="53" s="1"/>
  <c r="E106" i="83"/>
  <c r="E37" i="53"/>
  <c r="E90" i="53" s="1"/>
  <c r="K64" i="22"/>
  <c r="L61" i="22" s="1"/>
  <c r="D52" i="22"/>
  <c r="D113" i="83"/>
  <c r="D44" i="53"/>
  <c r="D97" i="53" s="1"/>
  <c r="E155" i="53"/>
  <c r="E222" i="53"/>
  <c r="C83" i="83"/>
  <c r="B22" i="84"/>
  <c r="B53" i="84" s="1"/>
  <c r="D118" i="83"/>
  <c r="D49" i="53"/>
  <c r="D102" i="53" s="1"/>
  <c r="C14" i="72"/>
  <c r="C38" i="72" s="1"/>
  <c r="D68" i="81"/>
  <c r="E12" i="53"/>
  <c r="E65" i="53" s="1"/>
  <c r="E95" i="81"/>
  <c r="D154" i="72"/>
  <c r="B78" i="72"/>
  <c r="B79" i="72"/>
  <c r="C58" i="55"/>
  <c r="C115" i="55" s="1"/>
  <c r="D69" i="83"/>
  <c r="C15" i="72"/>
  <c r="C39" i="72" s="1"/>
  <c r="D69" i="81"/>
  <c r="B24" i="55"/>
  <c r="B81" i="55" s="1"/>
  <c r="C55" i="81"/>
  <c r="K27" i="48"/>
  <c r="J34" i="48"/>
  <c r="J38" i="48"/>
  <c r="J48" i="48"/>
  <c r="J37" i="48"/>
  <c r="J33" i="48"/>
  <c r="J39" i="48"/>
  <c r="J40" i="48"/>
  <c r="J62" i="48"/>
  <c r="J66" i="48" s="1"/>
  <c r="G31" i="21" s="1"/>
  <c r="J54" i="48"/>
  <c r="J35" i="48"/>
  <c r="J36" i="48"/>
  <c r="J53" i="48"/>
  <c r="J32" i="48"/>
  <c r="D52" i="53"/>
  <c r="D105" i="53" s="1"/>
  <c r="E173" i="53" s="1"/>
  <c r="D121" i="83"/>
  <c r="E178" i="53"/>
  <c r="E242" i="53"/>
  <c r="D102" i="81"/>
  <c r="D19" i="53"/>
  <c r="D72" i="53" s="1"/>
  <c r="D111" i="81"/>
  <c r="D28" i="53"/>
  <c r="D81" i="53" s="1"/>
  <c r="G146" i="29" l="1"/>
  <c r="G23" i="68"/>
  <c r="I185" i="84"/>
  <c r="G33" i="21" s="1"/>
  <c r="G36" i="21" s="1"/>
  <c r="G42" i="29"/>
  <c r="G169" i="29"/>
  <c r="G124" i="29"/>
  <c r="G154" i="29"/>
  <c r="G139" i="29"/>
  <c r="G31" i="29"/>
  <c r="K23" i="22"/>
  <c r="H35" i="21" s="1"/>
  <c r="I34" i="42"/>
  <c r="F20" i="21"/>
  <c r="H45" i="42"/>
  <c r="H47" i="42" s="1"/>
  <c r="I51" i="61"/>
  <c r="J28" i="42"/>
  <c r="J37" i="42"/>
  <c r="J43" i="42" s="1"/>
  <c r="H30" i="21" s="1"/>
  <c r="J29" i="42"/>
  <c r="J27" i="42"/>
  <c r="J21" i="42"/>
  <c r="J23" i="42" s="1"/>
  <c r="G10" i="21"/>
  <c r="J38" i="61"/>
  <c r="J273" i="53"/>
  <c r="H32" i="21" s="1"/>
  <c r="I48" i="61"/>
  <c r="J59" i="48"/>
  <c r="F21" i="21"/>
  <c r="I69" i="48"/>
  <c r="J49" i="48"/>
  <c r="G11" i="21" s="1"/>
  <c r="D65" i="22"/>
  <c r="C13" i="69" s="1"/>
  <c r="C15" i="69" s="1"/>
  <c r="M57" i="22"/>
  <c r="K66" i="22"/>
  <c r="B97" i="22" s="1"/>
  <c r="M39" i="22"/>
  <c r="B14" i="69"/>
  <c r="B15" i="69" s="1"/>
  <c r="D254" i="53"/>
  <c r="C68" i="22"/>
  <c r="N56" i="22"/>
  <c r="N58" i="22" s="1"/>
  <c r="O55" i="22" s="1"/>
  <c r="B133" i="55"/>
  <c r="D191" i="55" s="1"/>
  <c r="D246" i="55"/>
  <c r="C22" i="84"/>
  <c r="C53" i="84" s="1"/>
  <c r="D83" i="83"/>
  <c r="F225" i="53"/>
  <c r="F158" i="53"/>
  <c r="D51" i="81"/>
  <c r="C20" i="55"/>
  <c r="C77" i="55" s="1"/>
  <c r="D89" i="83"/>
  <c r="C28" i="84"/>
  <c r="C59" i="84" s="1"/>
  <c r="C47" i="55"/>
  <c r="C104" i="55" s="1"/>
  <c r="D58" i="83"/>
  <c r="D60" i="81"/>
  <c r="C29" i="55"/>
  <c r="C86" i="55" s="1"/>
  <c r="E258" i="55"/>
  <c r="C145" i="55"/>
  <c r="E204" i="55" s="1"/>
  <c r="E105" i="81"/>
  <c r="E22" i="53"/>
  <c r="E75" i="53" s="1"/>
  <c r="E170" i="53"/>
  <c r="E237" i="53"/>
  <c r="E49" i="22"/>
  <c r="D68" i="22"/>
  <c r="D242" i="55"/>
  <c r="B129" i="55"/>
  <c r="D187" i="55" s="1"/>
  <c r="B156" i="55"/>
  <c r="D215" i="55" s="1"/>
  <c r="D269" i="55"/>
  <c r="G75" i="81"/>
  <c r="F21" i="72"/>
  <c r="F45" i="72" s="1"/>
  <c r="E260" i="55"/>
  <c r="C147" i="55"/>
  <c r="E206" i="55" s="1"/>
  <c r="D55" i="83"/>
  <c r="C44" i="55"/>
  <c r="C101" i="55" s="1"/>
  <c r="E145" i="53"/>
  <c r="E212" i="53"/>
  <c r="E163" i="53"/>
  <c r="E230" i="53"/>
  <c r="D118" i="53"/>
  <c r="F41" i="53"/>
  <c r="F94" i="53" s="1"/>
  <c r="F110" i="83"/>
  <c r="E82" i="83"/>
  <c r="D21" i="84"/>
  <c r="D52" i="84" s="1"/>
  <c r="E264" i="55"/>
  <c r="C151" i="55"/>
  <c r="E210" i="55" s="1"/>
  <c r="F157" i="53"/>
  <c r="F224" i="53"/>
  <c r="F176" i="53"/>
  <c r="F240" i="53"/>
  <c r="D56" i="83"/>
  <c r="C45" i="55"/>
  <c r="C102" i="55" s="1"/>
  <c r="D57" i="83"/>
  <c r="C46" i="55"/>
  <c r="C103" i="55" s="1"/>
  <c r="E154" i="72"/>
  <c r="C78" i="72"/>
  <c r="C79" i="72"/>
  <c r="D62" i="81"/>
  <c r="C31" i="55"/>
  <c r="C88" i="55" s="1"/>
  <c r="E108" i="81"/>
  <c r="E25" i="53"/>
  <c r="E78" i="53" s="1"/>
  <c r="E234" i="55"/>
  <c r="C121" i="55"/>
  <c r="E179" i="55" s="1"/>
  <c r="D76" i="81"/>
  <c r="C22" i="72"/>
  <c r="C46" i="72" s="1"/>
  <c r="F161" i="53"/>
  <c r="F228" i="53"/>
  <c r="E144" i="53"/>
  <c r="E211" i="53"/>
  <c r="E252" i="55"/>
  <c r="C139" i="55"/>
  <c r="E197" i="55" s="1"/>
  <c r="D183" i="53"/>
  <c r="D246" i="53"/>
  <c r="D92" i="83"/>
  <c r="C31" i="84"/>
  <c r="F239" i="53"/>
  <c r="F175" i="53"/>
  <c r="E171" i="53"/>
  <c r="E238" i="53"/>
  <c r="E215" i="53"/>
  <c r="E148" i="53"/>
  <c r="E235" i="53"/>
  <c r="E168" i="53"/>
  <c r="F98" i="81"/>
  <c r="F15" i="53"/>
  <c r="F68" i="53" s="1"/>
  <c r="D59" i="83"/>
  <c r="C48" i="55"/>
  <c r="C105" i="55" s="1"/>
  <c r="J8" i="29"/>
  <c r="I107" i="29"/>
  <c r="H96" i="22"/>
  <c r="I57" i="29"/>
  <c r="J93" i="29"/>
  <c r="E239" i="55"/>
  <c r="C126" i="55"/>
  <c r="E184" i="55" s="1"/>
  <c r="C23" i="84"/>
  <c r="C54" i="84" s="1"/>
  <c r="D84" i="83"/>
  <c r="E50" i="83"/>
  <c r="D39" i="55"/>
  <c r="D96" i="55" s="1"/>
  <c r="D81" i="81"/>
  <c r="C27" i="72"/>
  <c r="C51" i="72" s="1"/>
  <c r="E238" i="55"/>
  <c r="C125" i="55"/>
  <c r="E183" i="55" s="1"/>
  <c r="D18" i="84"/>
  <c r="D49" i="84" s="1"/>
  <c r="E79" i="83"/>
  <c r="D250" i="55"/>
  <c r="B137" i="55"/>
  <c r="D195" i="55" s="1"/>
  <c r="E46" i="83"/>
  <c r="D35" i="55"/>
  <c r="C26" i="84"/>
  <c r="C57" i="84" s="1"/>
  <c r="D87" i="83"/>
  <c r="D79" i="81"/>
  <c r="C49" i="72"/>
  <c r="F11" i="53"/>
  <c r="F64" i="53" s="1"/>
  <c r="F94" i="81"/>
  <c r="C50" i="55"/>
  <c r="C107" i="55" s="1"/>
  <c r="D61" i="83"/>
  <c r="E53" i="53"/>
  <c r="E106" i="53" s="1"/>
  <c r="F174" i="53" s="1"/>
  <c r="E122" i="83"/>
  <c r="G93" i="29"/>
  <c r="G8" i="29"/>
  <c r="E96" i="22"/>
  <c r="F57" i="29"/>
  <c r="F107" i="29"/>
  <c r="E149" i="53"/>
  <c r="E216" i="53"/>
  <c r="E277" i="55"/>
  <c r="C167" i="55"/>
  <c r="E226" i="55" s="1"/>
  <c r="E153" i="72"/>
  <c r="C63" i="72"/>
  <c r="C64" i="72"/>
  <c r="E113" i="83"/>
  <c r="E44" i="53"/>
  <c r="E97" i="53" s="1"/>
  <c r="F226" i="53"/>
  <c r="F159" i="53"/>
  <c r="F19" i="55"/>
  <c r="F76" i="55" s="1"/>
  <c r="G50" i="81"/>
  <c r="D184" i="53"/>
  <c r="D247" i="53"/>
  <c r="E275" i="55"/>
  <c r="C165" i="55"/>
  <c r="E224" i="55" s="1"/>
  <c r="B33" i="55"/>
  <c r="E111" i="81"/>
  <c r="E28" i="53"/>
  <c r="E81" i="53" s="1"/>
  <c r="G21" i="21"/>
  <c r="J48" i="61"/>
  <c r="J67" i="48"/>
  <c r="D15" i="72"/>
  <c r="D39" i="72" s="1"/>
  <c r="E69" i="81"/>
  <c r="F95" i="81"/>
  <c r="F12" i="53"/>
  <c r="F65" i="53" s="1"/>
  <c r="F37" i="53"/>
  <c r="F90" i="53" s="1"/>
  <c r="F106" i="83"/>
  <c r="F107" i="83"/>
  <c r="F38" i="53"/>
  <c r="F91" i="53" s="1"/>
  <c r="E128" i="55"/>
  <c r="G186" i="55" s="1"/>
  <c r="G241" i="55"/>
  <c r="B138" i="55"/>
  <c r="D196" i="55" s="1"/>
  <c r="D251" i="55"/>
  <c r="E47" i="83"/>
  <c r="D36" i="55"/>
  <c r="D93" i="55" s="1"/>
  <c r="E210" i="53"/>
  <c r="E143" i="53"/>
  <c r="D63" i="83"/>
  <c r="C52" i="55"/>
  <c r="C109" i="55" s="1"/>
  <c r="F204" i="53"/>
  <c r="F137" i="53"/>
  <c r="E206" i="53"/>
  <c r="E139" i="53"/>
  <c r="C124" i="55"/>
  <c r="E182" i="55" s="1"/>
  <c r="E237" i="55"/>
  <c r="D85" i="83"/>
  <c r="C24" i="84"/>
  <c r="C55" i="84" s="1"/>
  <c r="E263" i="55"/>
  <c r="C150" i="55"/>
  <c r="E209" i="55" s="1"/>
  <c r="E45" i="81"/>
  <c r="D14" i="55"/>
  <c r="D71" i="55" s="1"/>
  <c r="B130" i="55"/>
  <c r="D188" i="55" s="1"/>
  <c r="D243" i="55"/>
  <c r="E76" i="83"/>
  <c r="D15" i="84"/>
  <c r="D46" i="84" s="1"/>
  <c r="K67" i="22"/>
  <c r="F126" i="83"/>
  <c r="F57" i="53"/>
  <c r="F110" i="53" s="1"/>
  <c r="E140" i="53"/>
  <c r="E207" i="53"/>
  <c r="E52" i="53"/>
  <c r="E105" i="53" s="1"/>
  <c r="F173" i="53" s="1"/>
  <c r="E121" i="83"/>
  <c r="K40" i="48"/>
  <c r="K33" i="48"/>
  <c r="K38" i="48"/>
  <c r="K54" i="48"/>
  <c r="K34" i="48"/>
  <c r="K39" i="48"/>
  <c r="K48" i="48"/>
  <c r="K37" i="48"/>
  <c r="K62" i="48"/>
  <c r="K66" i="48" s="1"/>
  <c r="H31" i="21" s="1"/>
  <c r="K36" i="48"/>
  <c r="K35" i="48"/>
  <c r="K53" i="48"/>
  <c r="K32" i="48"/>
  <c r="F133" i="53"/>
  <c r="F200" i="53"/>
  <c r="E118" i="83"/>
  <c r="E49" i="53"/>
  <c r="E102" i="53" s="1"/>
  <c r="H151" i="53"/>
  <c r="H218" i="53"/>
  <c r="D60" i="83"/>
  <c r="C49" i="55"/>
  <c r="C106" i="55" s="1"/>
  <c r="D78" i="81"/>
  <c r="C48" i="72"/>
  <c r="E209" i="53"/>
  <c r="E142" i="53"/>
  <c r="E231" i="53"/>
  <c r="E164" i="53"/>
  <c r="B161" i="55"/>
  <c r="D220" i="55" s="1"/>
  <c r="D274" i="55"/>
  <c r="F99" i="81"/>
  <c r="F16" i="53"/>
  <c r="F69" i="53" s="1"/>
  <c r="E101" i="81"/>
  <c r="E18" i="53"/>
  <c r="E71" i="53" s="1"/>
  <c r="E49" i="83"/>
  <c r="D38" i="55"/>
  <c r="D95" i="55" s="1"/>
  <c r="E46" i="81"/>
  <c r="D15" i="55"/>
  <c r="D72" i="55" s="1"/>
  <c r="D41" i="55"/>
  <c r="D98" i="55" s="1"/>
  <c r="E52" i="83"/>
  <c r="D107" i="29"/>
  <c r="E93" i="29"/>
  <c r="E8" i="29"/>
  <c r="C96" i="22"/>
  <c r="D57" i="29"/>
  <c r="D42" i="29"/>
  <c r="E141" i="53"/>
  <c r="E208" i="53"/>
  <c r="B153" i="55"/>
  <c r="D212" i="55" s="1"/>
  <c r="D266" i="55"/>
  <c r="E24" i="53"/>
  <c r="E77" i="53" s="1"/>
  <c r="E107" i="81"/>
  <c r="E111" i="83"/>
  <c r="E42" i="53"/>
  <c r="E95" i="53" s="1"/>
  <c r="H107" i="29"/>
  <c r="I8" i="29"/>
  <c r="I93" i="29"/>
  <c r="G96" i="22"/>
  <c r="H57" i="29"/>
  <c r="D119" i="53"/>
  <c r="D84" i="81"/>
  <c r="C30" i="72"/>
  <c r="C54" i="72" s="1"/>
  <c r="F223" i="53"/>
  <c r="F156" i="53"/>
  <c r="E53" i="83"/>
  <c r="D42" i="55"/>
  <c r="D99" i="55" s="1"/>
  <c r="F105" i="83"/>
  <c r="F36" i="53"/>
  <c r="F89" i="53" s="1"/>
  <c r="F124" i="83"/>
  <c r="F55" i="53"/>
  <c r="F108" i="53" s="1"/>
  <c r="D267" i="55"/>
  <c r="B154" i="55"/>
  <c r="D213" i="55" s="1"/>
  <c r="D18" i="72"/>
  <c r="D42" i="72" s="1"/>
  <c r="E72" i="81"/>
  <c r="D253" i="55"/>
  <c r="B140" i="55"/>
  <c r="D198" i="55" s="1"/>
  <c r="E213" i="53"/>
  <c r="E146" i="53"/>
  <c r="D12" i="55"/>
  <c r="D69" i="55" s="1"/>
  <c r="E43" i="81"/>
  <c r="F109" i="83"/>
  <c r="F40" i="53"/>
  <c r="F93" i="53" s="1"/>
  <c r="E106" i="81"/>
  <c r="E23" i="53"/>
  <c r="E76" i="53" s="1"/>
  <c r="E61" i="81"/>
  <c r="D30" i="55"/>
  <c r="D87" i="55" s="1"/>
  <c r="D85" i="81"/>
  <c r="C31" i="72"/>
  <c r="C55" i="72" s="1"/>
  <c r="D187" i="53"/>
  <c r="D250" i="53"/>
  <c r="F123" i="83"/>
  <c r="F54" i="53"/>
  <c r="F107" i="53" s="1"/>
  <c r="E119" i="83"/>
  <c r="E50" i="53"/>
  <c r="E103" i="53" s="1"/>
  <c r="E110" i="81"/>
  <c r="E27" i="53"/>
  <c r="E80" i="53" s="1"/>
  <c r="E116" i="83"/>
  <c r="E47" i="53"/>
  <c r="E100" i="53" s="1"/>
  <c r="F203" i="53"/>
  <c r="F136" i="53"/>
  <c r="B157" i="55"/>
  <c r="D216" i="55" s="1"/>
  <c r="D270" i="55"/>
  <c r="E48" i="81"/>
  <c r="D17" i="55"/>
  <c r="D74" i="55" s="1"/>
  <c r="E261" i="55"/>
  <c r="C148" i="55"/>
  <c r="E207" i="55" s="1"/>
  <c r="E47" i="81"/>
  <c r="D16" i="55"/>
  <c r="D73" i="55" s="1"/>
  <c r="F92" i="81"/>
  <c r="F62" i="53"/>
  <c r="D58" i="81"/>
  <c r="C27" i="55"/>
  <c r="C84" i="55" s="1"/>
  <c r="D188" i="53"/>
  <c r="D251" i="53"/>
  <c r="C92" i="55"/>
  <c r="E51" i="22"/>
  <c r="D67" i="22"/>
  <c r="C26" i="72"/>
  <c r="C50" i="72" s="1"/>
  <c r="D80" i="81"/>
  <c r="E81" i="83"/>
  <c r="D20" i="84"/>
  <c r="D51" i="84" s="1"/>
  <c r="F199" i="53"/>
  <c r="F132" i="53"/>
  <c r="B159" i="55"/>
  <c r="D218" i="55" s="1"/>
  <c r="D272" i="55"/>
  <c r="C29" i="72"/>
  <c r="C53" i="72" s="1"/>
  <c r="D83" i="81"/>
  <c r="D96" i="22"/>
  <c r="F93" i="29"/>
  <c r="E57" i="29"/>
  <c r="E107" i="29"/>
  <c r="F8" i="29"/>
  <c r="E42" i="29"/>
  <c r="E102" i="81"/>
  <c r="E19" i="53"/>
  <c r="E72" i="53" s="1"/>
  <c r="D55" i="81"/>
  <c r="C24" i="55"/>
  <c r="C81" i="55" s="1"/>
  <c r="E69" i="83"/>
  <c r="D58" i="55"/>
  <c r="D115" i="55" s="1"/>
  <c r="D141" i="72"/>
  <c r="E68" i="81"/>
  <c r="D14" i="72"/>
  <c r="D38" i="72" s="1"/>
  <c r="E232" i="53"/>
  <c r="E165" i="53"/>
  <c r="L62" i="22"/>
  <c r="L63" i="22" s="1"/>
  <c r="H30" i="53"/>
  <c r="H83" i="53" s="1"/>
  <c r="H113" i="81"/>
  <c r="I30" i="53" s="1"/>
  <c r="I83" i="53" s="1"/>
  <c r="B158" i="55"/>
  <c r="D217" i="55" s="1"/>
  <c r="D271" i="55"/>
  <c r="E74" i="53"/>
  <c r="E104" i="81"/>
  <c r="E112" i="83"/>
  <c r="E43" i="53"/>
  <c r="E96" i="53" s="1"/>
  <c r="E74" i="81"/>
  <c r="D20" i="72"/>
  <c r="D44" i="72" s="1"/>
  <c r="E67" i="83"/>
  <c r="D56" i="55"/>
  <c r="D113" i="55" s="1"/>
  <c r="D233" i="55"/>
  <c r="B120" i="55"/>
  <c r="D93" i="83"/>
  <c r="C32" i="84"/>
  <c r="D94" i="83"/>
  <c r="C33" i="84"/>
  <c r="D10" i="23"/>
  <c r="E276" i="55"/>
  <c r="C166" i="55"/>
  <c r="E225" i="55" s="1"/>
  <c r="E166" i="53"/>
  <c r="E233" i="53"/>
  <c r="E95" i="83"/>
  <c r="D34" i="84"/>
  <c r="D62" i="84" s="1"/>
  <c r="D13" i="55"/>
  <c r="D70" i="55" s="1"/>
  <c r="E44" i="81"/>
  <c r="F42" i="29"/>
  <c r="F201" i="53"/>
  <c r="F134" i="53"/>
  <c r="D182" i="53"/>
  <c r="D245" i="53"/>
  <c r="E20" i="53"/>
  <c r="E73" i="53" s="1"/>
  <c r="E103" i="81"/>
  <c r="E78" i="83"/>
  <c r="D17" i="84"/>
  <c r="D48" i="84" s="1"/>
  <c r="F103" i="83"/>
  <c r="F34" i="53"/>
  <c r="F87" i="53" s="1"/>
  <c r="E259" i="55"/>
  <c r="C146" i="55"/>
  <c r="E205" i="55" s="1"/>
  <c r="D53" i="81"/>
  <c r="C22" i="55"/>
  <c r="C79" i="55" s="1"/>
  <c r="D115" i="53"/>
  <c r="D116" i="53"/>
  <c r="F104" i="83"/>
  <c r="F35" i="53"/>
  <c r="F88" i="53" s="1"/>
  <c r="B39" i="84"/>
  <c r="E77" i="83"/>
  <c r="D16" i="84"/>
  <c r="D47" i="84" s="1"/>
  <c r="D41" i="72"/>
  <c r="E71" i="81"/>
  <c r="F202" i="53"/>
  <c r="F135" i="53"/>
  <c r="E278" i="55"/>
  <c r="C168" i="55"/>
  <c r="E227" i="55" s="1"/>
  <c r="D56" i="81"/>
  <c r="C25" i="55"/>
  <c r="C82" i="55" s="1"/>
  <c r="C27" i="84"/>
  <c r="C58" i="84" s="1"/>
  <c r="D88" i="83"/>
  <c r="E150" i="53"/>
  <c r="E217" i="53"/>
  <c r="E240" i="55"/>
  <c r="C127" i="55"/>
  <c r="E185" i="55" s="1"/>
  <c r="F177" i="53"/>
  <c r="F241" i="53"/>
  <c r="E167" i="53"/>
  <c r="E234" i="53"/>
  <c r="E96" i="83"/>
  <c r="D35" i="84"/>
  <c r="D63" i="84" s="1"/>
  <c r="D57" i="81"/>
  <c r="C26" i="55"/>
  <c r="C83" i="55" s="1"/>
  <c r="D91" i="83"/>
  <c r="C30" i="84"/>
  <c r="C61" i="84" s="1"/>
  <c r="F221" i="53"/>
  <c r="F154" i="53"/>
  <c r="E42" i="81"/>
  <c r="D11" i="55"/>
  <c r="B61" i="55"/>
  <c r="F108" i="83"/>
  <c r="F39" i="53"/>
  <c r="F92" i="53" s="1"/>
  <c r="F131" i="53"/>
  <c r="F198" i="53"/>
  <c r="E67" i="81"/>
  <c r="D62" i="83"/>
  <c r="C51" i="55"/>
  <c r="C108" i="55" s="1"/>
  <c r="D54" i="81"/>
  <c r="C23" i="55"/>
  <c r="C80" i="55" s="1"/>
  <c r="E73" i="81"/>
  <c r="D19" i="72"/>
  <c r="D43" i="72" s="1"/>
  <c r="F197" i="53"/>
  <c r="F130" i="53"/>
  <c r="B136" i="55"/>
  <c r="D194" i="55" s="1"/>
  <c r="D249" i="55"/>
  <c r="E236" i="53"/>
  <c r="E169" i="53"/>
  <c r="C152" i="55"/>
  <c r="E211" i="55" s="1"/>
  <c r="E265" i="55"/>
  <c r="J181" i="84"/>
  <c r="J180" i="84"/>
  <c r="C45" i="84"/>
  <c r="D16" i="72"/>
  <c r="D40" i="72" s="1"/>
  <c r="E70" i="81"/>
  <c r="D253" i="53"/>
  <c r="D77" i="81"/>
  <c r="C23" i="72"/>
  <c r="C47" i="72" s="1"/>
  <c r="E262" i="55"/>
  <c r="C149" i="55"/>
  <c r="E208" i="55" s="1"/>
  <c r="F16" i="23"/>
  <c r="F20" i="23"/>
  <c r="F24" i="23"/>
  <c r="F28" i="23"/>
  <c r="F32" i="23"/>
  <c r="F33" i="23"/>
  <c r="F37" i="23"/>
  <c r="F41" i="23"/>
  <c r="F46" i="23"/>
  <c r="F50" i="23"/>
  <c r="F54" i="23"/>
  <c r="F59" i="23"/>
  <c r="F63" i="23"/>
  <c r="F67" i="23"/>
  <c r="F72" i="23"/>
  <c r="F76" i="23"/>
  <c r="F80" i="23"/>
  <c r="F81" i="23"/>
  <c r="F85" i="23"/>
  <c r="F89" i="23"/>
  <c r="F93" i="23"/>
  <c r="F34" i="23"/>
  <c r="F35" i="23"/>
  <c r="F36" i="23"/>
  <c r="F51" i="23"/>
  <c r="F52" i="23"/>
  <c r="F53" i="23"/>
  <c r="F68" i="23"/>
  <c r="F69" i="23"/>
  <c r="F70" i="23"/>
  <c r="F71" i="23"/>
  <c r="F86" i="23"/>
  <c r="F87" i="23"/>
  <c r="F88" i="23"/>
  <c r="F25" i="23"/>
  <c r="F27" i="23"/>
  <c r="F42" i="23"/>
  <c r="F44" i="23"/>
  <c r="F60" i="23"/>
  <c r="F62" i="23"/>
  <c r="F77" i="23"/>
  <c r="F78" i="23"/>
  <c r="F22" i="23"/>
  <c r="F38" i="23"/>
  <c r="F40" i="23"/>
  <c r="F56" i="23"/>
  <c r="F57" i="23"/>
  <c r="F58" i="23"/>
  <c r="F74" i="23"/>
  <c r="F90" i="23"/>
  <c r="F92" i="23"/>
  <c r="F29" i="23"/>
  <c r="F30" i="23"/>
  <c r="F31" i="23"/>
  <c r="F47" i="23"/>
  <c r="F48" i="23"/>
  <c r="F49" i="23"/>
  <c r="F64" i="23"/>
  <c r="F65" i="23"/>
  <c r="F66" i="23"/>
  <c r="F82" i="23"/>
  <c r="F83" i="23"/>
  <c r="F84" i="23"/>
  <c r="F26" i="23"/>
  <c r="F43" i="23"/>
  <c r="F45" i="23"/>
  <c r="F61" i="23"/>
  <c r="F79" i="23"/>
  <c r="F17" i="23"/>
  <c r="F18" i="23"/>
  <c r="F19" i="23"/>
  <c r="F21" i="23"/>
  <c r="F23" i="23"/>
  <c r="F39" i="23"/>
  <c r="F55" i="23"/>
  <c r="F73" i="23"/>
  <c r="F75" i="23"/>
  <c r="F91" i="23"/>
  <c r="E68" i="83"/>
  <c r="D57" i="55"/>
  <c r="D114" i="55" s="1"/>
  <c r="E114" i="83"/>
  <c r="E45" i="53"/>
  <c r="E98" i="53" s="1"/>
  <c r="C125" i="84"/>
  <c r="C142" i="84" s="1"/>
  <c r="E155" i="84" s="1"/>
  <c r="C124" i="84"/>
  <c r="C141" i="84" s="1"/>
  <c r="E163" i="84"/>
  <c r="C126" i="84"/>
  <c r="C143" i="84" s="1"/>
  <c r="E156" i="84" s="1"/>
  <c r="E164" i="84"/>
  <c r="E167" i="84"/>
  <c r="C122" i="55"/>
  <c r="E180" i="55" s="1"/>
  <c r="E235" i="55"/>
  <c r="F96" i="81"/>
  <c r="F13" i="53"/>
  <c r="F66" i="53" s="1"/>
  <c r="E236" i="55"/>
  <c r="C123" i="55"/>
  <c r="E181" i="55" s="1"/>
  <c r="D52" i="81"/>
  <c r="C21" i="55"/>
  <c r="C78" i="55" s="1"/>
  <c r="M40" i="22"/>
  <c r="N37" i="22" s="1"/>
  <c r="F242" i="53"/>
  <c r="F178" i="53"/>
  <c r="D140" i="72"/>
  <c r="F222" i="53"/>
  <c r="F155" i="53"/>
  <c r="E80" i="83"/>
  <c r="D19" i="84"/>
  <c r="D50" i="84" s="1"/>
  <c r="E48" i="83"/>
  <c r="D37" i="55"/>
  <c r="D94" i="55" s="1"/>
  <c r="B131" i="55"/>
  <c r="D189" i="55" s="1"/>
  <c r="D244" i="55"/>
  <c r="D114" i="53"/>
  <c r="F229" i="53"/>
  <c r="F162" i="53"/>
  <c r="D169" i="84"/>
  <c r="D154" i="84"/>
  <c r="D159" i="84" s="1"/>
  <c r="D168" i="84"/>
  <c r="B32" i="72"/>
  <c r="C29" i="84"/>
  <c r="C60" i="84" s="1"/>
  <c r="D90" i="83"/>
  <c r="B155" i="55"/>
  <c r="D214" i="55" s="1"/>
  <c r="D268" i="55"/>
  <c r="F14" i="53"/>
  <c r="F67" i="53" s="1"/>
  <c r="F97" i="81"/>
  <c r="E70" i="83"/>
  <c r="D59" i="55"/>
  <c r="D116" i="55" s="1"/>
  <c r="B134" i="55"/>
  <c r="D192" i="55" s="1"/>
  <c r="D247" i="55"/>
  <c r="E29" i="53"/>
  <c r="E82" i="53" s="1"/>
  <c r="E112" i="81"/>
  <c r="E49" i="81"/>
  <c r="D18" i="55"/>
  <c r="D75" i="55" s="1"/>
  <c r="F56" i="53"/>
  <c r="F109" i="53" s="1"/>
  <c r="F125" i="83"/>
  <c r="D86" i="83"/>
  <c r="C25" i="84"/>
  <c r="C56" i="84" s="1"/>
  <c r="E46" i="53"/>
  <c r="E99" i="53" s="1"/>
  <c r="E115" i="83"/>
  <c r="E98" i="83"/>
  <c r="D37" i="84"/>
  <c r="D65" i="84" s="1"/>
  <c r="B135" i="55"/>
  <c r="D193" i="55" s="1"/>
  <c r="D248" i="55"/>
  <c r="K46" i="22"/>
  <c r="F102" i="83"/>
  <c r="F33" i="53"/>
  <c r="F86" i="53" s="1"/>
  <c r="C68" i="55"/>
  <c r="B144" i="55"/>
  <c r="D203" i="55" s="1"/>
  <c r="D257" i="55"/>
  <c r="F227" i="53"/>
  <c r="F160" i="53"/>
  <c r="F10" i="53"/>
  <c r="F63" i="53" s="1"/>
  <c r="F93" i="81"/>
  <c r="B96" i="22"/>
  <c r="C57" i="29"/>
  <c r="C107" i="29"/>
  <c r="D93" i="29"/>
  <c r="D8" i="29"/>
  <c r="C42" i="29"/>
  <c r="C37" i="72"/>
  <c r="B160" i="55"/>
  <c r="D219" i="55" s="1"/>
  <c r="D273" i="55"/>
  <c r="B132" i="55"/>
  <c r="D190" i="55" s="1"/>
  <c r="D245" i="55"/>
  <c r="E51" i="53"/>
  <c r="E104" i="53" s="1"/>
  <c r="F172" i="53" s="1"/>
  <c r="E120" i="83"/>
  <c r="D59" i="81"/>
  <c r="C28" i="55"/>
  <c r="C85" i="55" s="1"/>
  <c r="C28" i="72"/>
  <c r="C52" i="72" s="1"/>
  <c r="D82" i="81"/>
  <c r="E117" i="83"/>
  <c r="E48" i="53"/>
  <c r="E101" i="53" s="1"/>
  <c r="E97" i="83"/>
  <c r="D36" i="84"/>
  <c r="D64" i="84" s="1"/>
  <c r="G170" i="29"/>
  <c r="G140" i="29"/>
  <c r="G125" i="29"/>
  <c r="G155" i="29"/>
  <c r="G32" i="29"/>
  <c r="E54" i="83"/>
  <c r="D43" i="55"/>
  <c r="D100" i="55" s="1"/>
  <c r="E75" i="83"/>
  <c r="D14" i="84"/>
  <c r="E155" i="72"/>
  <c r="C70" i="72"/>
  <c r="E142" i="72" s="1"/>
  <c r="C71" i="72"/>
  <c r="B95" i="72"/>
  <c r="D139" i="72" s="1"/>
  <c r="D152" i="72"/>
  <c r="B96" i="72"/>
  <c r="L50" i="22"/>
  <c r="E51" i="83"/>
  <c r="D40" i="55"/>
  <c r="D97" i="55" s="1"/>
  <c r="F96" i="22"/>
  <c r="G57" i="29"/>
  <c r="G107" i="29"/>
  <c r="H93" i="29"/>
  <c r="H8" i="29"/>
  <c r="H131" i="29" l="1"/>
  <c r="H176" i="29"/>
  <c r="H161" i="29"/>
  <c r="H146" i="29"/>
  <c r="H23" i="68"/>
  <c r="H42" i="29"/>
  <c r="J34" i="42"/>
  <c r="K51" i="61" s="1"/>
  <c r="H10" i="21"/>
  <c r="K38" i="61"/>
  <c r="G20" i="21"/>
  <c r="J51" i="61"/>
  <c r="I45" i="42"/>
  <c r="I47" i="42" s="1"/>
  <c r="H31" i="29"/>
  <c r="H139" i="29"/>
  <c r="H169" i="29"/>
  <c r="H154" i="29"/>
  <c r="H124" i="29"/>
  <c r="H20" i="21"/>
  <c r="J45" i="42"/>
  <c r="J47" i="42" s="1"/>
  <c r="J69" i="48"/>
  <c r="J35" i="61"/>
  <c r="K49" i="48"/>
  <c r="H11" i="21" s="1"/>
  <c r="K59" i="48"/>
  <c r="K48" i="61" s="1"/>
  <c r="N57" i="22"/>
  <c r="L64" i="22"/>
  <c r="M61" i="22" s="1"/>
  <c r="M62" i="22" s="1"/>
  <c r="M63" i="22" s="1"/>
  <c r="C39" i="84"/>
  <c r="C61" i="55"/>
  <c r="E15" i="61"/>
  <c r="D260" i="53" s="1"/>
  <c r="D262" i="53" s="1"/>
  <c r="D144" i="72"/>
  <c r="C33" i="55"/>
  <c r="C10" i="55" s="1"/>
  <c r="D160" i="72"/>
  <c r="D191" i="53"/>
  <c r="B12" i="21" s="1"/>
  <c r="O56" i="22"/>
  <c r="F51" i="83"/>
  <c r="E40" i="55"/>
  <c r="E97" i="55" s="1"/>
  <c r="F265" i="55"/>
  <c r="D152" i="55"/>
  <c r="F211" i="55" s="1"/>
  <c r="E36" i="84"/>
  <c r="E64" i="84" s="1"/>
  <c r="F97" i="83"/>
  <c r="F46" i="53"/>
  <c r="F99" i="53" s="1"/>
  <c r="F115" i="83"/>
  <c r="F29" i="53"/>
  <c r="F82" i="53" s="1"/>
  <c r="F112" i="81"/>
  <c r="D156" i="72"/>
  <c r="B35" i="72"/>
  <c r="E52" i="81"/>
  <c r="D21" i="55"/>
  <c r="D78" i="55" s="1"/>
  <c r="G13" i="53"/>
  <c r="G66" i="53" s="1"/>
  <c r="G96" i="81"/>
  <c r="E154" i="84"/>
  <c r="E159" i="84" s="1"/>
  <c r="E169" i="84"/>
  <c r="E168" i="84"/>
  <c r="E115" i="53"/>
  <c r="F73" i="81"/>
  <c r="E19" i="72"/>
  <c r="E43" i="72" s="1"/>
  <c r="E62" i="83"/>
  <c r="D51" i="55"/>
  <c r="D108" i="55" s="1"/>
  <c r="E35" i="84"/>
  <c r="E63" i="84" s="1"/>
  <c r="F96" i="83"/>
  <c r="E56" i="81"/>
  <c r="D25" i="55"/>
  <c r="D82" i="55" s="1"/>
  <c r="F77" i="83"/>
  <c r="E16" i="84"/>
  <c r="E47" i="84" s="1"/>
  <c r="E244" i="55"/>
  <c r="C131" i="55"/>
  <c r="E189" i="55" s="1"/>
  <c r="E93" i="83"/>
  <c r="D32" i="84"/>
  <c r="F112" i="83"/>
  <c r="F43" i="53"/>
  <c r="F96" i="53" s="1"/>
  <c r="F207" i="53"/>
  <c r="F140" i="53"/>
  <c r="C136" i="55"/>
  <c r="E194" i="55" s="1"/>
  <c r="E249" i="55"/>
  <c r="G239" i="53"/>
  <c r="G175" i="53"/>
  <c r="F211" i="53"/>
  <c r="F144" i="53"/>
  <c r="E12" i="55"/>
  <c r="E69" i="55" s="1"/>
  <c r="F43" i="81"/>
  <c r="D124" i="55"/>
  <c r="F182" i="55" s="1"/>
  <c r="F237" i="55"/>
  <c r="F237" i="53"/>
  <c r="F170" i="53"/>
  <c r="F258" i="55"/>
  <c r="D145" i="55"/>
  <c r="F204" i="55" s="1"/>
  <c r="G37" i="53"/>
  <c r="G90" i="53" s="1"/>
  <c r="G106" i="83"/>
  <c r="E15" i="72"/>
  <c r="E39" i="72" s="1"/>
  <c r="F69" i="81"/>
  <c r="H50" i="81"/>
  <c r="H19" i="55" s="1"/>
  <c r="H76" i="55" s="1"/>
  <c r="G19" i="55"/>
  <c r="G76" i="55" s="1"/>
  <c r="G98" i="81"/>
  <c r="G15" i="53"/>
  <c r="G68" i="53" s="1"/>
  <c r="D22" i="72"/>
  <c r="D46" i="72" s="1"/>
  <c r="E76" i="81"/>
  <c r="E267" i="55"/>
  <c r="C154" i="55"/>
  <c r="E213" i="55" s="1"/>
  <c r="E269" i="55"/>
  <c r="C156" i="55"/>
  <c r="E215" i="55" s="1"/>
  <c r="F169" i="53"/>
  <c r="F236" i="53"/>
  <c r="G10" i="53"/>
  <c r="G63" i="53" s="1"/>
  <c r="G93" i="81"/>
  <c r="G241" i="53"/>
  <c r="G177" i="53"/>
  <c r="C132" i="55"/>
  <c r="E190" i="55" s="1"/>
  <c r="E245" i="55"/>
  <c r="E88" i="83"/>
  <c r="D27" i="84"/>
  <c r="D58" i="84" s="1"/>
  <c r="B12" i="84"/>
  <c r="B42" i="84"/>
  <c r="E53" i="81"/>
  <c r="D22" i="55"/>
  <c r="D79" i="55" s="1"/>
  <c r="G103" i="83"/>
  <c r="G34" i="53"/>
  <c r="G87" i="53" s="1"/>
  <c r="F164" i="84"/>
  <c r="D124" i="84"/>
  <c r="D141" i="84" s="1"/>
  <c r="D126" i="84"/>
  <c r="D143" i="84" s="1"/>
  <c r="F156" i="84" s="1"/>
  <c r="D125" i="84"/>
  <c r="D142" i="84" s="1"/>
  <c r="F155" i="84" s="1"/>
  <c r="F163" i="84"/>
  <c r="F167" i="84"/>
  <c r="F104" i="81"/>
  <c r="F74" i="53"/>
  <c r="E58" i="55"/>
  <c r="E115" i="55" s="1"/>
  <c r="F69" i="83"/>
  <c r="E58" i="81"/>
  <c r="D27" i="55"/>
  <c r="D84" i="55" s="1"/>
  <c r="F48" i="81"/>
  <c r="E17" i="55"/>
  <c r="E74" i="55" s="1"/>
  <c r="F110" i="81"/>
  <c r="F27" i="53"/>
  <c r="F80" i="53" s="1"/>
  <c r="D31" i="72"/>
  <c r="D55" i="72" s="1"/>
  <c r="E85" i="81"/>
  <c r="F23" i="53"/>
  <c r="F76" i="53" s="1"/>
  <c r="F106" i="81"/>
  <c r="F46" i="81"/>
  <c r="E15" i="55"/>
  <c r="E72" i="55" s="1"/>
  <c r="F101" i="81"/>
  <c r="F18" i="53"/>
  <c r="F71" i="53" s="1"/>
  <c r="F49" i="53"/>
  <c r="F102" i="53" s="1"/>
  <c r="F118" i="83"/>
  <c r="F47" i="83"/>
  <c r="E36" i="55"/>
  <c r="E93" i="55" s="1"/>
  <c r="D45" i="84"/>
  <c r="F117" i="83"/>
  <c r="F48" i="53"/>
  <c r="F101" i="53" s="1"/>
  <c r="D28" i="55"/>
  <c r="D85" i="55" s="1"/>
  <c r="E59" i="81"/>
  <c r="C32" i="72"/>
  <c r="G131" i="53"/>
  <c r="G198" i="53"/>
  <c r="G102" i="83"/>
  <c r="G33" i="53"/>
  <c r="G86" i="53" s="1"/>
  <c r="F240" i="55"/>
  <c r="D127" i="55"/>
  <c r="F185" i="55" s="1"/>
  <c r="G97" i="81"/>
  <c r="G14" i="53"/>
  <c r="G67" i="53" s="1"/>
  <c r="E90" i="83"/>
  <c r="D29" i="84"/>
  <c r="D60" i="84" s="1"/>
  <c r="B13" i="21"/>
  <c r="E39" i="61"/>
  <c r="E182" i="53"/>
  <c r="E245" i="53"/>
  <c r="F259" i="55"/>
  <c r="D146" i="55"/>
  <c r="F205" i="55" s="1"/>
  <c r="N38" i="22"/>
  <c r="N39" i="22" s="1"/>
  <c r="F233" i="53"/>
  <c r="F166" i="53"/>
  <c r="E152" i="72"/>
  <c r="C95" i="72"/>
  <c r="E139" i="72" s="1"/>
  <c r="C96" i="72"/>
  <c r="F155" i="72"/>
  <c r="D70" i="72"/>
  <c r="F142" i="72" s="1"/>
  <c r="D71" i="72"/>
  <c r="J185" i="84"/>
  <c r="H33" i="21" s="1"/>
  <c r="H36" i="21" s="1"/>
  <c r="E54" i="81"/>
  <c r="D23" i="55"/>
  <c r="D80" i="55" s="1"/>
  <c r="F67" i="81"/>
  <c r="D68" i="55"/>
  <c r="E57" i="81"/>
  <c r="D26" i="55"/>
  <c r="D83" i="55" s="1"/>
  <c r="E184" i="53"/>
  <c r="E247" i="53"/>
  <c r="E34" i="84"/>
  <c r="E62" i="84" s="1"/>
  <c r="F95" i="83"/>
  <c r="D33" i="84"/>
  <c r="E94" i="83"/>
  <c r="F74" i="81"/>
  <c r="E20" i="72"/>
  <c r="E44" i="72" s="1"/>
  <c r="F142" i="53"/>
  <c r="F209" i="53"/>
  <c r="I151" i="53"/>
  <c r="I218" i="53"/>
  <c r="E246" i="55"/>
  <c r="C133" i="55"/>
  <c r="E191" i="55" s="1"/>
  <c r="G197" i="53"/>
  <c r="G130" i="53"/>
  <c r="F235" i="53"/>
  <c r="F168" i="53"/>
  <c r="F238" i="53"/>
  <c r="F171" i="53"/>
  <c r="F252" i="55"/>
  <c r="D139" i="55"/>
  <c r="F197" i="55" s="1"/>
  <c r="G228" i="53"/>
  <c r="G161" i="53"/>
  <c r="F72" i="81"/>
  <c r="E18" i="72"/>
  <c r="E42" i="72" s="1"/>
  <c r="G240" i="53"/>
  <c r="G176" i="53"/>
  <c r="F264" i="55"/>
  <c r="D151" i="55"/>
  <c r="F210" i="55" s="1"/>
  <c r="F230" i="53"/>
  <c r="F163" i="53"/>
  <c r="F263" i="55"/>
  <c r="D150" i="55"/>
  <c r="F209" i="55" s="1"/>
  <c r="F260" i="55"/>
  <c r="D147" i="55"/>
  <c r="F206" i="55" s="1"/>
  <c r="G204" i="53"/>
  <c r="G137" i="53"/>
  <c r="G178" i="53"/>
  <c r="G242" i="53"/>
  <c r="F236" i="55"/>
  <c r="D123" i="55"/>
  <c r="F181" i="55" s="1"/>
  <c r="G159" i="53"/>
  <c r="G226" i="53"/>
  <c r="G200" i="53"/>
  <c r="G133" i="53"/>
  <c r="F28" i="53"/>
  <c r="F81" i="53" s="1"/>
  <c r="F111" i="81"/>
  <c r="F122" i="83"/>
  <c r="F53" i="53"/>
  <c r="F106" i="53" s="1"/>
  <c r="G174" i="53" s="1"/>
  <c r="G94" i="81"/>
  <c r="G11" i="53"/>
  <c r="G64" i="53" s="1"/>
  <c r="D26" i="84"/>
  <c r="D57" i="84" s="1"/>
  <c r="E87" i="83"/>
  <c r="D148" i="55"/>
  <c r="F207" i="55" s="1"/>
  <c r="F261" i="55"/>
  <c r="E59" i="83"/>
  <c r="D48" i="55"/>
  <c r="D105" i="55" s="1"/>
  <c r="E92" i="83"/>
  <c r="D31" i="84"/>
  <c r="E62" i="81"/>
  <c r="D31" i="55"/>
  <c r="D88" i="55" s="1"/>
  <c r="C155" i="55"/>
  <c r="E214" i="55" s="1"/>
  <c r="E268" i="55"/>
  <c r="G110" i="83"/>
  <c r="G41" i="53"/>
  <c r="G94" i="53" s="1"/>
  <c r="C153" i="55"/>
  <c r="E212" i="55" s="1"/>
  <c r="E266" i="55"/>
  <c r="E52" i="22"/>
  <c r="E65" i="22"/>
  <c r="D13" i="69" s="1"/>
  <c r="D15" i="69" s="1"/>
  <c r="F105" i="81"/>
  <c r="F22" i="53"/>
  <c r="F75" i="53" s="1"/>
  <c r="D29" i="55"/>
  <c r="D86" i="55" s="1"/>
  <c r="E60" i="81"/>
  <c r="D28" i="84"/>
  <c r="D59" i="84" s="1"/>
  <c r="E89" i="83"/>
  <c r="G56" i="53"/>
  <c r="G109" i="53" s="1"/>
  <c r="G125" i="83"/>
  <c r="F278" i="55"/>
  <c r="D168" i="55"/>
  <c r="F227" i="55" s="1"/>
  <c r="F276" i="55"/>
  <c r="D166" i="55"/>
  <c r="F225" i="55" s="1"/>
  <c r="C12" i="84"/>
  <c r="C42" i="84"/>
  <c r="E116" i="53"/>
  <c r="G108" i="83"/>
  <c r="G39" i="53"/>
  <c r="G92" i="53" s="1"/>
  <c r="G223" i="53"/>
  <c r="G156" i="53"/>
  <c r="G155" i="53"/>
  <c r="G222" i="53"/>
  <c r="F20" i="53"/>
  <c r="F73" i="53" s="1"/>
  <c r="F103" i="81"/>
  <c r="F235" i="55"/>
  <c r="D122" i="55"/>
  <c r="F180" i="55" s="1"/>
  <c r="F10" i="23"/>
  <c r="E10" i="23" s="1"/>
  <c r="F67" i="83"/>
  <c r="E56" i="55"/>
  <c r="E113" i="55" s="1"/>
  <c r="F68" i="81"/>
  <c r="E14" i="72"/>
  <c r="E38" i="72" s="1"/>
  <c r="F277" i="55"/>
  <c r="D167" i="55"/>
  <c r="F226" i="55" s="1"/>
  <c r="D29" i="72"/>
  <c r="D53" i="72" s="1"/>
  <c r="E83" i="81"/>
  <c r="D26" i="72"/>
  <c r="D50" i="72" s="1"/>
  <c r="E80" i="81"/>
  <c r="F238" i="55"/>
  <c r="D125" i="55"/>
  <c r="F183" i="55" s="1"/>
  <c r="D126" i="55"/>
  <c r="F184" i="55" s="1"/>
  <c r="F239" i="55"/>
  <c r="F215" i="53"/>
  <c r="F148" i="53"/>
  <c r="G224" i="53"/>
  <c r="G157" i="53"/>
  <c r="E188" i="53"/>
  <c r="E251" i="53"/>
  <c r="F107" i="81"/>
  <c r="F24" i="53"/>
  <c r="F77" i="53" s="1"/>
  <c r="F206" i="53"/>
  <c r="F139" i="53"/>
  <c r="E271" i="55"/>
  <c r="C158" i="55"/>
  <c r="E217" i="55" s="1"/>
  <c r="F121" i="83"/>
  <c r="F52" i="53"/>
  <c r="F105" i="53" s="1"/>
  <c r="G173" i="53" s="1"/>
  <c r="E274" i="55"/>
  <c r="C161" i="55"/>
  <c r="E220" i="55" s="1"/>
  <c r="F165" i="53"/>
  <c r="F232" i="53"/>
  <c r="E61" i="83"/>
  <c r="D50" i="55"/>
  <c r="D107" i="55" s="1"/>
  <c r="D92" i="55"/>
  <c r="F79" i="83"/>
  <c r="E18" i="84"/>
  <c r="E49" i="84" s="1"/>
  <c r="E84" i="83"/>
  <c r="D23" i="84"/>
  <c r="D54" i="84" s="1"/>
  <c r="F108" i="81"/>
  <c r="F25" i="53"/>
  <c r="F78" i="53" s="1"/>
  <c r="E141" i="72"/>
  <c r="G21" i="72"/>
  <c r="G45" i="72" s="1"/>
  <c r="H75" i="81"/>
  <c r="H21" i="72" s="1"/>
  <c r="H45" i="72" s="1"/>
  <c r="D20" i="55"/>
  <c r="D77" i="55" s="1"/>
  <c r="E51" i="81"/>
  <c r="F54" i="83"/>
  <c r="E43" i="55"/>
  <c r="E100" i="55" s="1"/>
  <c r="E250" i="55"/>
  <c r="C137" i="55"/>
  <c r="E195" i="55" s="1"/>
  <c r="G221" i="53"/>
  <c r="G154" i="53"/>
  <c r="F234" i="53"/>
  <c r="F167" i="53"/>
  <c r="F217" i="53"/>
  <c r="F150" i="53"/>
  <c r="F70" i="83"/>
  <c r="E59" i="55"/>
  <c r="E116" i="55" s="1"/>
  <c r="F80" i="83"/>
  <c r="E19" i="84"/>
  <c r="E50" i="84" s="1"/>
  <c r="F68" i="83"/>
  <c r="E57" i="55"/>
  <c r="E114" i="55" s="1"/>
  <c r="E16" i="72"/>
  <c r="E40" i="72" s="1"/>
  <c r="F70" i="81"/>
  <c r="E254" i="53"/>
  <c r="E118" i="53"/>
  <c r="E114" i="53"/>
  <c r="D37" i="72"/>
  <c r="E248" i="55"/>
  <c r="C135" i="55"/>
  <c r="E193" i="55" s="1"/>
  <c r="E41" i="72"/>
  <c r="F71" i="81"/>
  <c r="G104" i="83"/>
  <c r="G35" i="53"/>
  <c r="G88" i="53" s="1"/>
  <c r="F208" i="53"/>
  <c r="F141" i="53"/>
  <c r="D284" i="55"/>
  <c r="D178" i="55"/>
  <c r="D285" i="55"/>
  <c r="J218" i="53"/>
  <c r="J151" i="53"/>
  <c r="F19" i="53"/>
  <c r="F72" i="53" s="1"/>
  <c r="F102" i="81"/>
  <c r="E257" i="55"/>
  <c r="C144" i="55"/>
  <c r="E203" i="55" s="1"/>
  <c r="E16" i="55"/>
  <c r="E73" i="55" s="1"/>
  <c r="F47" i="81"/>
  <c r="G123" i="83"/>
  <c r="G54" i="53"/>
  <c r="G107" i="53" s="1"/>
  <c r="F234" i="55"/>
  <c r="D121" i="55"/>
  <c r="F179" i="55" s="1"/>
  <c r="G36" i="53"/>
  <c r="G89" i="53" s="1"/>
  <c r="G105" i="83"/>
  <c r="F212" i="53"/>
  <c r="F145" i="53"/>
  <c r="F52" i="83"/>
  <c r="E41" i="55"/>
  <c r="E98" i="55" s="1"/>
  <c r="E60" i="83"/>
  <c r="D49" i="55"/>
  <c r="D106" i="55" s="1"/>
  <c r="L51" i="22"/>
  <c r="E85" i="83"/>
  <c r="D24" i="84"/>
  <c r="D55" i="84" s="1"/>
  <c r="E63" i="83"/>
  <c r="D52" i="55"/>
  <c r="D109" i="55" s="1"/>
  <c r="G158" i="53"/>
  <c r="G225" i="53"/>
  <c r="F149" i="53"/>
  <c r="F216" i="53"/>
  <c r="F128" i="55"/>
  <c r="H186" i="55" s="1"/>
  <c r="H241" i="55"/>
  <c r="F113" i="83"/>
  <c r="F44" i="53"/>
  <c r="F97" i="53" s="1"/>
  <c r="E272" i="55"/>
  <c r="C159" i="55"/>
  <c r="E218" i="55" s="1"/>
  <c r="D49" i="72"/>
  <c r="E79" i="81"/>
  <c r="F46" i="83"/>
  <c r="E35" i="55"/>
  <c r="E81" i="81"/>
  <c r="D27" i="72"/>
  <c r="D51" i="72" s="1"/>
  <c r="C157" i="55"/>
  <c r="E216" i="55" s="1"/>
  <c r="E270" i="55"/>
  <c r="C140" i="55"/>
  <c r="E198" i="55" s="1"/>
  <c r="E253" i="55"/>
  <c r="E56" i="83"/>
  <c r="D45" i="55"/>
  <c r="D102" i="55" s="1"/>
  <c r="E21" i="84"/>
  <c r="E52" i="84" s="1"/>
  <c r="F82" i="83"/>
  <c r="E250" i="53"/>
  <c r="E187" i="53"/>
  <c r="F210" i="53"/>
  <c r="F143" i="53"/>
  <c r="E251" i="55"/>
  <c r="C138" i="55"/>
  <c r="E196" i="55" s="1"/>
  <c r="H140" i="29"/>
  <c r="H125" i="29"/>
  <c r="H32" i="29"/>
  <c r="H170" i="29"/>
  <c r="H155" i="29"/>
  <c r="F262" i="55"/>
  <c r="D149" i="55"/>
  <c r="F208" i="55" s="1"/>
  <c r="L52" i="22"/>
  <c r="F75" i="83"/>
  <c r="E14" i="84"/>
  <c r="E82" i="81"/>
  <c r="D28" i="72"/>
  <c r="D52" i="72" s="1"/>
  <c r="F120" i="83"/>
  <c r="F51" i="53"/>
  <c r="F104" i="53" s="1"/>
  <c r="G172" i="53" s="1"/>
  <c r="C120" i="55"/>
  <c r="E233" i="55"/>
  <c r="L43" i="22"/>
  <c r="K68" i="22"/>
  <c r="F98" i="83"/>
  <c r="E37" i="84"/>
  <c r="E65" i="84" s="1"/>
  <c r="E86" i="83"/>
  <c r="D25" i="84"/>
  <c r="D56" i="84" s="1"/>
  <c r="F49" i="81"/>
  <c r="E18" i="55"/>
  <c r="E75" i="55" s="1"/>
  <c r="G202" i="53"/>
  <c r="G135" i="53"/>
  <c r="E37" i="55"/>
  <c r="E94" i="55" s="1"/>
  <c r="F48" i="83"/>
  <c r="E243" i="55"/>
  <c r="C130" i="55"/>
  <c r="E188" i="55" s="1"/>
  <c r="G134" i="53"/>
  <c r="G201" i="53"/>
  <c r="F45" i="53"/>
  <c r="F98" i="53" s="1"/>
  <c r="F114" i="83"/>
  <c r="D23" i="72"/>
  <c r="D47" i="72" s="1"/>
  <c r="E77" i="81"/>
  <c r="E119" i="53"/>
  <c r="E273" i="55"/>
  <c r="C160" i="55"/>
  <c r="E219" i="55" s="1"/>
  <c r="G227" i="53"/>
  <c r="G160" i="53"/>
  <c r="F42" i="81"/>
  <c r="E11" i="55"/>
  <c r="E91" i="83"/>
  <c r="D30" i="84"/>
  <c r="D61" i="84" s="1"/>
  <c r="C134" i="55"/>
  <c r="E192" i="55" s="1"/>
  <c r="E247" i="55"/>
  <c r="E246" i="53"/>
  <c r="E183" i="53"/>
  <c r="F78" i="83"/>
  <c r="E17" i="84"/>
  <c r="E48" i="84" s="1"/>
  <c r="F44" i="81"/>
  <c r="E13" i="55"/>
  <c r="E70" i="55" s="1"/>
  <c r="F275" i="55"/>
  <c r="D165" i="55"/>
  <c r="F224" i="55" s="1"/>
  <c r="F231" i="53"/>
  <c r="F164" i="53"/>
  <c r="F153" i="72"/>
  <c r="D63" i="72"/>
  <c r="D64" i="72"/>
  <c r="D161" i="72"/>
  <c r="E55" i="81"/>
  <c r="D24" i="55"/>
  <c r="D81" i="55" s="1"/>
  <c r="F81" i="83"/>
  <c r="E20" i="84"/>
  <c r="E51" i="84" s="1"/>
  <c r="E67" i="22"/>
  <c r="F51" i="22"/>
  <c r="G62" i="53"/>
  <c r="G92" i="81"/>
  <c r="F116" i="83"/>
  <c r="F47" i="53"/>
  <c r="F100" i="53" s="1"/>
  <c r="F119" i="83"/>
  <c r="F50" i="53"/>
  <c r="F103" i="53" s="1"/>
  <c r="F61" i="81"/>
  <c r="E30" i="55"/>
  <c r="E87" i="55" s="1"/>
  <c r="G40" i="53"/>
  <c r="G93" i="53" s="1"/>
  <c r="G109" i="83"/>
  <c r="F154" i="72"/>
  <c r="D78" i="72"/>
  <c r="D79" i="72"/>
  <c r="G55" i="53"/>
  <c r="G108" i="53" s="1"/>
  <c r="G124" i="83"/>
  <c r="F53" i="83"/>
  <c r="E42" i="55"/>
  <c r="E99" i="55" s="1"/>
  <c r="D30" i="72"/>
  <c r="D54" i="72" s="1"/>
  <c r="E84" i="81"/>
  <c r="F111" i="83"/>
  <c r="F42" i="53"/>
  <c r="F95" i="53" s="1"/>
  <c r="F49" i="83"/>
  <c r="E38" i="55"/>
  <c r="E95" i="55" s="1"/>
  <c r="G99" i="81"/>
  <c r="G16" i="53"/>
  <c r="G69" i="53" s="1"/>
  <c r="E78" i="81"/>
  <c r="D48" i="72"/>
  <c r="G126" i="83"/>
  <c r="G57" i="53"/>
  <c r="G110" i="53" s="1"/>
  <c r="F76" i="83"/>
  <c r="E15" i="84"/>
  <c r="E46" i="84" s="1"/>
  <c r="F45" i="81"/>
  <c r="E14" i="55"/>
  <c r="E71" i="55" s="1"/>
  <c r="G107" i="83"/>
  <c r="G38" i="53"/>
  <c r="G91" i="53" s="1"/>
  <c r="G95" i="81"/>
  <c r="G12" i="53"/>
  <c r="G65" i="53" s="1"/>
  <c r="B65" i="55"/>
  <c r="D200" i="55" s="1"/>
  <c r="B10" i="55"/>
  <c r="E140" i="72"/>
  <c r="G199" i="53"/>
  <c r="G132" i="53"/>
  <c r="F50" i="83"/>
  <c r="E39" i="55"/>
  <c r="E96" i="55" s="1"/>
  <c r="G136" i="53"/>
  <c r="G203" i="53"/>
  <c r="F146" i="53"/>
  <c r="F213" i="53"/>
  <c r="D46" i="55"/>
  <c r="D103" i="55" s="1"/>
  <c r="E57" i="83"/>
  <c r="G162" i="53"/>
  <c r="G229" i="53"/>
  <c r="E55" i="83"/>
  <c r="D44" i="55"/>
  <c r="D101" i="55" s="1"/>
  <c r="E58" i="83"/>
  <c r="D47" i="55"/>
  <c r="D104" i="55" s="1"/>
  <c r="C129" i="55"/>
  <c r="E187" i="55" s="1"/>
  <c r="E242" i="55"/>
  <c r="D22" i="84"/>
  <c r="D53" i="84" s="1"/>
  <c r="E83" i="83"/>
  <c r="E253" i="53"/>
  <c r="I154" i="29" l="1"/>
  <c r="I139" i="29"/>
  <c r="I169" i="29"/>
  <c r="I31" i="29"/>
  <c r="I124" i="29"/>
  <c r="K67" i="48"/>
  <c r="K69" i="48" s="1"/>
  <c r="H21" i="21"/>
  <c r="K35" i="61"/>
  <c r="O57" i="22"/>
  <c r="O58" i="22"/>
  <c r="P55" i="22" s="1"/>
  <c r="P56" i="22" s="1"/>
  <c r="P58" i="22" s="1"/>
  <c r="Q55" i="22" s="1"/>
  <c r="N40" i="22"/>
  <c r="O37" i="22" s="1"/>
  <c r="O38" i="22" s="1"/>
  <c r="O39" i="22" s="1"/>
  <c r="F6" i="61"/>
  <c r="E259" i="53" s="1"/>
  <c r="E144" i="72"/>
  <c r="M64" i="22"/>
  <c r="N61" i="22" s="1"/>
  <c r="N62" i="22" s="1"/>
  <c r="N63" i="22" s="1"/>
  <c r="C65" i="55"/>
  <c r="E200" i="55" s="1"/>
  <c r="E160" i="72"/>
  <c r="E191" i="53"/>
  <c r="F34" i="61" s="1"/>
  <c r="E161" i="72"/>
  <c r="E34" i="61"/>
  <c r="F118" i="53"/>
  <c r="G250" i="53" s="1"/>
  <c r="F15" i="61"/>
  <c r="G6" i="61" s="1"/>
  <c r="I146" i="29"/>
  <c r="I176" i="29"/>
  <c r="I42" i="29"/>
  <c r="I23" i="68"/>
  <c r="I131" i="29"/>
  <c r="I161" i="29"/>
  <c r="H107" i="83"/>
  <c r="I38" i="53" s="1"/>
  <c r="I91" i="53" s="1"/>
  <c r="H38" i="53"/>
  <c r="H91" i="53" s="1"/>
  <c r="G230" i="53"/>
  <c r="G163" i="53"/>
  <c r="H228" i="53"/>
  <c r="H161" i="53"/>
  <c r="G119" i="83"/>
  <c r="G50" i="53"/>
  <c r="G103" i="53" s="1"/>
  <c r="F20" i="84"/>
  <c r="F51" i="84" s="1"/>
  <c r="G81" i="83"/>
  <c r="F251" i="53"/>
  <c r="F188" i="53"/>
  <c r="F56" i="83"/>
  <c r="E45" i="55"/>
  <c r="E102" i="55" s="1"/>
  <c r="G46" i="83"/>
  <c r="F35" i="55"/>
  <c r="G52" i="83"/>
  <c r="F41" i="55"/>
  <c r="F98" i="55" s="1"/>
  <c r="H54" i="53"/>
  <c r="H107" i="53" s="1"/>
  <c r="H123" i="83"/>
  <c r="I54" i="53" s="1"/>
  <c r="I107" i="53" s="1"/>
  <c r="E152" i="55"/>
  <c r="G211" i="55" s="1"/>
  <c r="G265" i="55"/>
  <c r="D129" i="55"/>
  <c r="F187" i="55" s="1"/>
  <c r="F242" i="55"/>
  <c r="D61" i="55"/>
  <c r="H160" i="53"/>
  <c r="H227" i="53"/>
  <c r="H241" i="53"/>
  <c r="H177" i="53"/>
  <c r="E68" i="22"/>
  <c r="F49" i="22"/>
  <c r="F62" i="81"/>
  <c r="E31" i="55"/>
  <c r="E88" i="55" s="1"/>
  <c r="F115" i="53"/>
  <c r="G67" i="81"/>
  <c r="E29" i="84"/>
  <c r="E60" i="84" s="1"/>
  <c r="F90" i="83"/>
  <c r="E28" i="55"/>
  <c r="E85" i="55" s="1"/>
  <c r="F59" i="81"/>
  <c r="G144" i="53"/>
  <c r="G211" i="53"/>
  <c r="G27" i="53"/>
  <c r="G80" i="53" s="1"/>
  <c r="G110" i="81"/>
  <c r="E27" i="55"/>
  <c r="E84" i="55" s="1"/>
  <c r="F58" i="81"/>
  <c r="G104" i="81"/>
  <c r="G74" i="53"/>
  <c r="H198" i="53"/>
  <c r="H131" i="53"/>
  <c r="I241" i="55"/>
  <c r="G128" i="55"/>
  <c r="I186" i="55" s="1"/>
  <c r="G112" i="83"/>
  <c r="G43" i="53"/>
  <c r="G96" i="53" s="1"/>
  <c r="F39" i="61"/>
  <c r="C13" i="21"/>
  <c r="F269" i="55"/>
  <c r="D156" i="55"/>
  <c r="F215" i="55" s="1"/>
  <c r="G261" i="55"/>
  <c r="E148" i="55"/>
  <c r="G207" i="55" s="1"/>
  <c r="H133" i="53"/>
  <c r="H200" i="53"/>
  <c r="H242" i="53"/>
  <c r="H178" i="53"/>
  <c r="G260" i="55"/>
  <c r="E147" i="55"/>
  <c r="G206" i="55" s="1"/>
  <c r="G53" i="83"/>
  <c r="F42" i="55"/>
  <c r="F99" i="55" s="1"/>
  <c r="G235" i="53"/>
  <c r="G168" i="53"/>
  <c r="E25" i="84"/>
  <c r="E56" i="84" s="1"/>
  <c r="F86" i="83"/>
  <c r="L44" i="22"/>
  <c r="L46" i="22" s="1"/>
  <c r="M43" i="22" s="1"/>
  <c r="L65" i="22"/>
  <c r="E45" i="84"/>
  <c r="G232" i="53"/>
  <c r="G165" i="53"/>
  <c r="F274" i="55"/>
  <c r="D161" i="55"/>
  <c r="F220" i="55" s="1"/>
  <c r="F271" i="55"/>
  <c r="D158" i="55"/>
  <c r="F217" i="55" s="1"/>
  <c r="G102" i="81"/>
  <c r="G19" i="53"/>
  <c r="G72" i="53" s="1"/>
  <c r="D32" i="72"/>
  <c r="F43" i="55"/>
  <c r="F100" i="55" s="1"/>
  <c r="G54" i="83"/>
  <c r="G121" i="83"/>
  <c r="G52" i="53"/>
  <c r="G105" i="53" s="1"/>
  <c r="H173" i="53" s="1"/>
  <c r="G153" i="72"/>
  <c r="E63" i="72"/>
  <c r="E64" i="72"/>
  <c r="F89" i="83"/>
  <c r="E28" i="84"/>
  <c r="E59" i="84" s="1"/>
  <c r="H199" i="53"/>
  <c r="H132" i="53"/>
  <c r="E78" i="72"/>
  <c r="G154" i="72"/>
  <c r="E79" i="72"/>
  <c r="D120" i="55"/>
  <c r="F233" i="55"/>
  <c r="H221" i="53"/>
  <c r="H154" i="53"/>
  <c r="F250" i="55"/>
  <c r="D137" i="55"/>
  <c r="F195" i="55" s="1"/>
  <c r="E124" i="55"/>
  <c r="G182" i="55" s="1"/>
  <c r="G237" i="55"/>
  <c r="G239" i="55"/>
  <c r="E126" i="55"/>
  <c r="G184" i="55" s="1"/>
  <c r="F154" i="84"/>
  <c r="F159" i="84" s="1"/>
  <c r="F169" i="84"/>
  <c r="F168" i="84"/>
  <c r="F244" i="55"/>
  <c r="D131" i="55"/>
  <c r="F189" i="55" s="1"/>
  <c r="H128" i="55"/>
  <c r="J241" i="55"/>
  <c r="H225" i="53"/>
  <c r="H158" i="53"/>
  <c r="I170" i="29"/>
  <c r="I140" i="29"/>
  <c r="I125" i="29"/>
  <c r="I155" i="29"/>
  <c r="I32" i="29"/>
  <c r="G96" i="83"/>
  <c r="F35" i="84"/>
  <c r="F63" i="84" s="1"/>
  <c r="H96" i="81"/>
  <c r="I13" i="53" s="1"/>
  <c r="I66" i="53" s="1"/>
  <c r="H13" i="53"/>
  <c r="H66" i="53" s="1"/>
  <c r="D157" i="72"/>
  <c r="D158" i="72"/>
  <c r="G217" i="53"/>
  <c r="G150" i="53"/>
  <c r="E282" i="55"/>
  <c r="E283" i="55"/>
  <c r="C171" i="29"/>
  <c r="C33" i="29"/>
  <c r="C156" i="29"/>
  <c r="C141" i="29"/>
  <c r="C126" i="29"/>
  <c r="F253" i="53"/>
  <c r="F58" i="83"/>
  <c r="E47" i="55"/>
  <c r="E104" i="55" s="1"/>
  <c r="F39" i="55"/>
  <c r="F96" i="55" s="1"/>
  <c r="G50" i="83"/>
  <c r="H12" i="53"/>
  <c r="H65" i="53" s="1"/>
  <c r="H95" i="81"/>
  <c r="I12" i="53" s="1"/>
  <c r="I65" i="53" s="1"/>
  <c r="G45" i="81"/>
  <c r="F14" i="55"/>
  <c r="F71" i="55" s="1"/>
  <c r="H126" i="83"/>
  <c r="I57" i="53" s="1"/>
  <c r="I110" i="53" s="1"/>
  <c r="H57" i="53"/>
  <c r="H110" i="53" s="1"/>
  <c r="F78" i="81"/>
  <c r="E48" i="72"/>
  <c r="G49" i="83"/>
  <c r="F38" i="55"/>
  <c r="F95" i="55" s="1"/>
  <c r="E30" i="72"/>
  <c r="E54" i="72" s="1"/>
  <c r="F84" i="81"/>
  <c r="H55" i="53"/>
  <c r="H108" i="53" s="1"/>
  <c r="H124" i="83"/>
  <c r="I55" i="53" s="1"/>
  <c r="I108" i="53" s="1"/>
  <c r="G61" i="81"/>
  <c r="F30" i="55"/>
  <c r="F87" i="55" s="1"/>
  <c r="G116" i="83"/>
  <c r="G47" i="53"/>
  <c r="G100" i="53" s="1"/>
  <c r="E24" i="55"/>
  <c r="E81" i="55" s="1"/>
  <c r="F55" i="81"/>
  <c r="G78" i="83"/>
  <c r="F17" i="84"/>
  <c r="F48" i="84" s="1"/>
  <c r="E68" i="55"/>
  <c r="D95" i="72"/>
  <c r="F139" i="72" s="1"/>
  <c r="F152" i="72"/>
  <c r="D96" i="72"/>
  <c r="G48" i="83"/>
  <c r="F37" i="55"/>
  <c r="F94" i="55" s="1"/>
  <c r="G240" i="55"/>
  <c r="E127" i="55"/>
  <c r="G185" i="55" s="1"/>
  <c r="G120" i="83"/>
  <c r="G51" i="53"/>
  <c r="G104" i="53" s="1"/>
  <c r="H172" i="53" s="1"/>
  <c r="G75" i="83"/>
  <c r="F14" i="84"/>
  <c r="F81" i="81"/>
  <c r="E27" i="72"/>
  <c r="E51" i="72" s="1"/>
  <c r="G44" i="53"/>
  <c r="G97" i="53" s="1"/>
  <c r="G113" i="83"/>
  <c r="F63" i="83"/>
  <c r="E52" i="55"/>
  <c r="E109" i="55" s="1"/>
  <c r="F60" i="83"/>
  <c r="E49" i="55"/>
  <c r="E106" i="55" s="1"/>
  <c r="E125" i="55"/>
  <c r="G183" i="55" s="1"/>
  <c r="G238" i="55"/>
  <c r="G140" i="53"/>
  <c r="G207" i="53"/>
  <c r="D229" i="55"/>
  <c r="B8" i="21" s="1"/>
  <c r="H156" i="53"/>
  <c r="H223" i="53"/>
  <c r="F245" i="53"/>
  <c r="F182" i="53"/>
  <c r="G155" i="72"/>
  <c r="E70" i="72"/>
  <c r="G142" i="72" s="1"/>
  <c r="E71" i="72"/>
  <c r="G276" i="55"/>
  <c r="E166" i="55"/>
  <c r="G225" i="55" s="1"/>
  <c r="G278" i="55"/>
  <c r="E168" i="55"/>
  <c r="G227" i="55" s="1"/>
  <c r="G213" i="53"/>
  <c r="G146" i="53"/>
  <c r="F272" i="55"/>
  <c r="D159" i="55"/>
  <c r="F218" i="55" s="1"/>
  <c r="G68" i="81"/>
  <c r="F14" i="72"/>
  <c r="F38" i="72" s="1"/>
  <c r="G103" i="81"/>
  <c r="G20" i="53"/>
  <c r="G73" i="53" s="1"/>
  <c r="F254" i="53"/>
  <c r="G22" i="53"/>
  <c r="G75" i="53" s="1"/>
  <c r="G105" i="81"/>
  <c r="F92" i="83"/>
  <c r="E31" i="84"/>
  <c r="H94" i="81"/>
  <c r="I11" i="53" s="1"/>
  <c r="I64" i="53" s="1"/>
  <c r="H11" i="53"/>
  <c r="H64" i="53" s="1"/>
  <c r="G149" i="53"/>
  <c r="G216" i="53"/>
  <c r="G72" i="81"/>
  <c r="F18" i="72"/>
  <c r="F42" i="72" s="1"/>
  <c r="F20" i="72"/>
  <c r="F44" i="72" s="1"/>
  <c r="G74" i="81"/>
  <c r="G95" i="83"/>
  <c r="F34" i="84"/>
  <c r="F62" i="84" s="1"/>
  <c r="D33" i="55"/>
  <c r="F54" i="81"/>
  <c r="E23" i="55"/>
  <c r="E80" i="55" s="1"/>
  <c r="C172" i="29"/>
  <c r="C34" i="29"/>
  <c r="C127" i="29"/>
  <c r="C157" i="29"/>
  <c r="C142" i="29"/>
  <c r="H97" i="81"/>
  <c r="I14" i="53" s="1"/>
  <c r="I67" i="53" s="1"/>
  <c r="H14" i="53"/>
  <c r="H67" i="53" s="1"/>
  <c r="H102" i="83"/>
  <c r="I33" i="53" s="1"/>
  <c r="I86" i="53" s="1"/>
  <c r="H33" i="53"/>
  <c r="H86" i="53" s="1"/>
  <c r="G169" i="53"/>
  <c r="G236" i="53"/>
  <c r="G258" i="55"/>
  <c r="E145" i="55"/>
  <c r="G204" i="55" s="1"/>
  <c r="G237" i="53"/>
  <c r="G170" i="53"/>
  <c r="G46" i="81"/>
  <c r="F15" i="55"/>
  <c r="F72" i="55" s="1"/>
  <c r="G48" i="81"/>
  <c r="F17" i="55"/>
  <c r="F74" i="55" s="1"/>
  <c r="E167" i="55"/>
  <c r="G226" i="55" s="1"/>
  <c r="G277" i="55"/>
  <c r="F53" i="81"/>
  <c r="E22" i="55"/>
  <c r="E79" i="55" s="1"/>
  <c r="F88" i="83"/>
  <c r="E27" i="84"/>
  <c r="E58" i="84" s="1"/>
  <c r="H203" i="53"/>
  <c r="H136" i="53"/>
  <c r="G69" i="81"/>
  <c r="F15" i="72"/>
  <c r="F39" i="72" s="1"/>
  <c r="F93" i="83"/>
  <c r="E32" i="84"/>
  <c r="G77" i="83"/>
  <c r="F16" i="84"/>
  <c r="F47" i="84" s="1"/>
  <c r="F19" i="72"/>
  <c r="F43" i="72" s="1"/>
  <c r="G73" i="81"/>
  <c r="H201" i="53"/>
  <c r="H134" i="53"/>
  <c r="D146" i="72"/>
  <c r="D148" i="72" s="1"/>
  <c r="D159" i="72"/>
  <c r="G115" i="83"/>
  <c r="G46" i="53"/>
  <c r="G99" i="53" s="1"/>
  <c r="G97" i="83"/>
  <c r="F36" i="84"/>
  <c r="F64" i="84" s="1"/>
  <c r="G262" i="55"/>
  <c r="E149" i="55"/>
  <c r="G208" i="55" s="1"/>
  <c r="F55" i="83"/>
  <c r="E44" i="55"/>
  <c r="E101" i="55" s="1"/>
  <c r="F268" i="55"/>
  <c r="D155" i="55"/>
  <c r="F214" i="55" s="1"/>
  <c r="G76" i="83"/>
  <c r="F15" i="84"/>
  <c r="F46" i="84" s="1"/>
  <c r="H16" i="53"/>
  <c r="H69" i="53" s="1"/>
  <c r="H99" i="81"/>
  <c r="I16" i="53" s="1"/>
  <c r="I69" i="53" s="1"/>
  <c r="G264" i="55"/>
  <c r="E151" i="55"/>
  <c r="G210" i="55" s="1"/>
  <c r="H197" i="53"/>
  <c r="H130" i="53"/>
  <c r="G44" i="81"/>
  <c r="F13" i="55"/>
  <c r="F70" i="55" s="1"/>
  <c r="G166" i="53"/>
  <c r="G233" i="53"/>
  <c r="E28" i="72"/>
  <c r="E52" i="72" s="1"/>
  <c r="F82" i="81"/>
  <c r="F85" i="83"/>
  <c r="E24" i="84"/>
  <c r="E55" i="84" s="1"/>
  <c r="H157" i="53"/>
  <c r="H224" i="53"/>
  <c r="G71" i="81"/>
  <c r="F41" i="72"/>
  <c r="G107" i="81"/>
  <c r="G24" i="53"/>
  <c r="G77" i="53" s="1"/>
  <c r="G67" i="83"/>
  <c r="F56" i="55"/>
  <c r="F113" i="55" s="1"/>
  <c r="D138" i="55"/>
  <c r="F196" i="55" s="1"/>
  <c r="F251" i="55"/>
  <c r="H110" i="83"/>
  <c r="I41" i="53" s="1"/>
  <c r="I94" i="53" s="1"/>
  <c r="H41" i="53"/>
  <c r="H94" i="53" s="1"/>
  <c r="E48" i="55"/>
  <c r="E105" i="55" s="1"/>
  <c r="F59" i="83"/>
  <c r="G122" i="83"/>
  <c r="G53" i="53"/>
  <c r="G106" i="53" s="1"/>
  <c r="H174" i="53" s="1"/>
  <c r="F116" i="53"/>
  <c r="F94" i="83"/>
  <c r="E33" i="84"/>
  <c r="F57" i="81"/>
  <c r="E26" i="55"/>
  <c r="E83" i="55" s="1"/>
  <c r="D39" i="84"/>
  <c r="G18" i="53"/>
  <c r="G71" i="53" s="1"/>
  <c r="G101" i="81"/>
  <c r="H103" i="83"/>
  <c r="I34" i="53" s="1"/>
  <c r="I87" i="53" s="1"/>
  <c r="H34" i="53"/>
  <c r="H87" i="53" s="1"/>
  <c r="D165" i="84"/>
  <c r="D166" i="84"/>
  <c r="F76" i="81"/>
  <c r="E22" i="72"/>
  <c r="E46" i="72" s="1"/>
  <c r="H106" i="83"/>
  <c r="I37" i="53" s="1"/>
  <c r="I90" i="53" s="1"/>
  <c r="H37" i="53"/>
  <c r="H90" i="53" s="1"/>
  <c r="G234" i="55"/>
  <c r="E121" i="55"/>
  <c r="G179" i="55" s="1"/>
  <c r="F56" i="81"/>
  <c r="E25" i="55"/>
  <c r="E82" i="55" s="1"/>
  <c r="F62" i="83"/>
  <c r="E51" i="55"/>
  <c r="E108" i="55" s="1"/>
  <c r="F52" i="81"/>
  <c r="E21" i="55"/>
  <c r="E78" i="55" s="1"/>
  <c r="G112" i="81"/>
  <c r="G29" i="53"/>
  <c r="G82" i="53" s="1"/>
  <c r="F83" i="83"/>
  <c r="E22" i="84"/>
  <c r="E53" i="84" s="1"/>
  <c r="G236" i="55"/>
  <c r="E123" i="55"/>
  <c r="G181" i="55" s="1"/>
  <c r="G111" i="83"/>
  <c r="G42" i="53"/>
  <c r="G95" i="53" s="1"/>
  <c r="F141" i="72"/>
  <c r="G252" i="55"/>
  <c r="E139" i="55"/>
  <c r="G197" i="55" s="1"/>
  <c r="G51" i="22"/>
  <c r="F67" i="22"/>
  <c r="D133" i="55"/>
  <c r="F191" i="55" s="1"/>
  <c r="F246" i="55"/>
  <c r="F140" i="72"/>
  <c r="F91" i="83"/>
  <c r="E30" i="84"/>
  <c r="E61" i="84" s="1"/>
  <c r="E23" i="72"/>
  <c r="E47" i="72" s="1"/>
  <c r="F77" i="81"/>
  <c r="G82" i="83"/>
  <c r="F21" i="84"/>
  <c r="F52" i="84" s="1"/>
  <c r="F79" i="81"/>
  <c r="E49" i="72"/>
  <c r="G47" i="81"/>
  <c r="F16" i="55"/>
  <c r="F73" i="55" s="1"/>
  <c r="G70" i="81"/>
  <c r="F16" i="72"/>
  <c r="F40" i="72" s="1"/>
  <c r="G80" i="83"/>
  <c r="F19" i="84"/>
  <c r="F50" i="84" s="1"/>
  <c r="F84" i="83"/>
  <c r="E23" i="84"/>
  <c r="E54" i="84" s="1"/>
  <c r="F257" i="55"/>
  <c r="D144" i="55"/>
  <c r="F203" i="55" s="1"/>
  <c r="F83" i="81"/>
  <c r="E29" i="72"/>
  <c r="E53" i="72" s="1"/>
  <c r="H39" i="53"/>
  <c r="H92" i="53" s="1"/>
  <c r="H108" i="83"/>
  <c r="I39" i="53" s="1"/>
  <c r="I92" i="53" s="1"/>
  <c r="E165" i="84"/>
  <c r="E166" i="84"/>
  <c r="G210" i="53"/>
  <c r="G143" i="53"/>
  <c r="G28" i="53"/>
  <c r="G81" i="53" s="1"/>
  <c r="G111" i="81"/>
  <c r="F114" i="53"/>
  <c r="D132" i="55"/>
  <c r="F190" i="55" s="1"/>
  <c r="F245" i="55"/>
  <c r="H202" i="53"/>
  <c r="H135" i="53"/>
  <c r="E47" i="61"/>
  <c r="B22" i="21"/>
  <c r="D274" i="53"/>
  <c r="D276" i="53" s="1"/>
  <c r="G118" i="83"/>
  <c r="G49" i="53"/>
  <c r="G102" i="53" s="1"/>
  <c r="E31" i="72"/>
  <c r="E55" i="72" s="1"/>
  <c r="F85" i="81"/>
  <c r="F58" i="55"/>
  <c r="F115" i="55" s="1"/>
  <c r="G69" i="83"/>
  <c r="F266" i="55"/>
  <c r="D153" i="55"/>
  <c r="F212" i="55" s="1"/>
  <c r="F57" i="83"/>
  <c r="E46" i="55"/>
  <c r="E103" i="55" s="1"/>
  <c r="D282" i="55"/>
  <c r="D283" i="55"/>
  <c r="H226" i="53"/>
  <c r="H159" i="53"/>
  <c r="H204" i="53"/>
  <c r="H137" i="53"/>
  <c r="H176" i="53"/>
  <c r="H240" i="53"/>
  <c r="H109" i="83"/>
  <c r="I40" i="53" s="1"/>
  <c r="I93" i="53" s="1"/>
  <c r="H40" i="53"/>
  <c r="H93" i="53" s="1"/>
  <c r="G171" i="53"/>
  <c r="G238" i="53"/>
  <c r="H92" i="81"/>
  <c r="I62" i="53" s="1"/>
  <c r="H62" i="53"/>
  <c r="G235" i="55"/>
  <c r="E122" i="55"/>
  <c r="G180" i="55" s="1"/>
  <c r="F11" i="55"/>
  <c r="G42" i="81"/>
  <c r="G114" i="83"/>
  <c r="G45" i="53"/>
  <c r="G98" i="53" s="1"/>
  <c r="G259" i="55"/>
  <c r="E146" i="55"/>
  <c r="G205" i="55" s="1"/>
  <c r="G49" i="81"/>
  <c r="F18" i="55"/>
  <c r="F75" i="55" s="1"/>
  <c r="F37" i="84"/>
  <c r="F65" i="84" s="1"/>
  <c r="G98" i="83"/>
  <c r="E284" i="55"/>
  <c r="E285" i="55"/>
  <c r="E178" i="55"/>
  <c r="M49" i="22"/>
  <c r="F267" i="55"/>
  <c r="D154" i="55"/>
  <c r="F213" i="55" s="1"/>
  <c r="E92" i="55"/>
  <c r="G263" i="55"/>
  <c r="E150" i="55"/>
  <c r="G209" i="55" s="1"/>
  <c r="H36" i="53"/>
  <c r="H89" i="53" s="1"/>
  <c r="H105" i="83"/>
  <c r="I36" i="53" s="1"/>
  <c r="I89" i="53" s="1"/>
  <c r="H239" i="53"/>
  <c r="H175" i="53"/>
  <c r="H35" i="53"/>
  <c r="H88" i="53" s="1"/>
  <c r="H104" i="83"/>
  <c r="I35" i="53" s="1"/>
  <c r="I88" i="53" s="1"/>
  <c r="F187" i="53"/>
  <c r="F250" i="53"/>
  <c r="G68" i="83"/>
  <c r="F57" i="55"/>
  <c r="F114" i="55" s="1"/>
  <c r="F59" i="55"/>
  <c r="F116" i="55" s="1"/>
  <c r="G70" i="83"/>
  <c r="E20" i="55"/>
  <c r="E77" i="55" s="1"/>
  <c r="F51" i="81"/>
  <c r="G108" i="81"/>
  <c r="G25" i="53"/>
  <c r="G78" i="53" s="1"/>
  <c r="F18" i="84"/>
  <c r="F49" i="84" s="1"/>
  <c r="G79" i="83"/>
  <c r="F61" i="83"/>
  <c r="E50" i="55"/>
  <c r="E107" i="55" s="1"/>
  <c r="G212" i="53"/>
  <c r="G145" i="53"/>
  <c r="E26" i="72"/>
  <c r="E50" i="72" s="1"/>
  <c r="F80" i="81"/>
  <c r="G275" i="55"/>
  <c r="E165" i="55"/>
  <c r="G224" i="55" s="1"/>
  <c r="G10" i="23"/>
  <c r="C11" i="23" s="1"/>
  <c r="G141" i="53"/>
  <c r="G208" i="53"/>
  <c r="F247" i="53"/>
  <c r="F184" i="53"/>
  <c r="H125" i="83"/>
  <c r="I56" i="53" s="1"/>
  <c r="I109" i="53" s="1"/>
  <c r="H56" i="53"/>
  <c r="H109" i="53" s="1"/>
  <c r="F60" i="81"/>
  <c r="E29" i="55"/>
  <c r="E86" i="55" s="1"/>
  <c r="H162" i="53"/>
  <c r="H229" i="53"/>
  <c r="D140" i="55"/>
  <c r="F198" i="55" s="1"/>
  <c r="F253" i="55"/>
  <c r="F270" i="55"/>
  <c r="D157" i="55"/>
  <c r="F216" i="55" s="1"/>
  <c r="F87" i="83"/>
  <c r="E26" i="84"/>
  <c r="E57" i="84" s="1"/>
  <c r="F119" i="53"/>
  <c r="G163" i="84"/>
  <c r="G167" i="84"/>
  <c r="E125" i="84"/>
  <c r="E142" i="84" s="1"/>
  <c r="G155" i="84" s="1"/>
  <c r="E126" i="84"/>
  <c r="E143" i="84" s="1"/>
  <c r="G156" i="84" s="1"/>
  <c r="G164" i="84"/>
  <c r="E124" i="84"/>
  <c r="E141" i="84" s="1"/>
  <c r="F248" i="55"/>
  <c r="D135" i="55"/>
  <c r="F193" i="55" s="1"/>
  <c r="E37" i="72"/>
  <c r="E156" i="72"/>
  <c r="C35" i="72"/>
  <c r="G48" i="53"/>
  <c r="G101" i="53" s="1"/>
  <c r="G117" i="83"/>
  <c r="G47" i="83"/>
  <c r="F36" i="55"/>
  <c r="F93" i="55" s="1"/>
  <c r="G206" i="53"/>
  <c r="G139" i="53"/>
  <c r="G106" i="81"/>
  <c r="G23" i="53"/>
  <c r="G76" i="53" s="1"/>
  <c r="G215" i="53"/>
  <c r="G148" i="53"/>
  <c r="D136" i="55"/>
  <c r="F194" i="55" s="1"/>
  <c r="F249" i="55"/>
  <c r="G209" i="53"/>
  <c r="G142" i="53"/>
  <c r="H222" i="53"/>
  <c r="H155" i="53"/>
  <c r="H93" i="81"/>
  <c r="I10" i="53" s="1"/>
  <c r="I63" i="53" s="1"/>
  <c r="H10" i="53"/>
  <c r="H63" i="53" s="1"/>
  <c r="H98" i="81"/>
  <c r="I15" i="53" s="1"/>
  <c r="I68" i="53" s="1"/>
  <c r="H15" i="53"/>
  <c r="H68" i="53" s="1"/>
  <c r="G43" i="81"/>
  <c r="F12" i="55"/>
  <c r="F69" i="55" s="1"/>
  <c r="G231" i="53"/>
  <c r="G164" i="53"/>
  <c r="D134" i="55"/>
  <c r="F192" i="55" s="1"/>
  <c r="F247" i="55"/>
  <c r="F273" i="55"/>
  <c r="D160" i="55"/>
  <c r="F219" i="55" s="1"/>
  <c r="F183" i="53"/>
  <c r="F246" i="53"/>
  <c r="F243" i="55"/>
  <c r="D130" i="55"/>
  <c r="F188" i="55" s="1"/>
  <c r="G234" i="53"/>
  <c r="G167" i="53"/>
  <c r="G51" i="83"/>
  <c r="F40" i="55"/>
  <c r="F97" i="55" s="1"/>
  <c r="F161" i="72" l="1"/>
  <c r="G187" i="53"/>
  <c r="F160" i="72"/>
  <c r="P57" i="22"/>
  <c r="F18" i="61"/>
  <c r="G9" i="61" s="1"/>
  <c r="E18" i="61"/>
  <c r="F9" i="61" s="1"/>
  <c r="E229" i="55"/>
  <c r="F36" i="61" s="1"/>
  <c r="E260" i="53"/>
  <c r="E262" i="53" s="1"/>
  <c r="E16" i="61"/>
  <c r="D290" i="55" s="1"/>
  <c r="D292" i="55" s="1"/>
  <c r="F144" i="72"/>
  <c r="C12" i="21"/>
  <c r="D156" i="29" s="1"/>
  <c r="F16" i="61"/>
  <c r="G7" i="61" s="1"/>
  <c r="F289" i="55" s="1"/>
  <c r="E32" i="72"/>
  <c r="E35" i="72" s="1"/>
  <c r="F191" i="53"/>
  <c r="G34" i="61" s="1"/>
  <c r="G15" i="61"/>
  <c r="F260" i="53" s="1"/>
  <c r="F121" i="55"/>
  <c r="H179" i="55" s="1"/>
  <c r="H234" i="55"/>
  <c r="E158" i="72"/>
  <c r="E157" i="72"/>
  <c r="G80" i="81"/>
  <c r="F26" i="72"/>
  <c r="F50" i="72" s="1"/>
  <c r="E159" i="55"/>
  <c r="G218" i="55" s="1"/>
  <c r="G272" i="55"/>
  <c r="H70" i="83"/>
  <c r="H59" i="55" s="1"/>
  <c r="H116" i="55" s="1"/>
  <c r="G59" i="55"/>
  <c r="G116" i="55" s="1"/>
  <c r="F68" i="55"/>
  <c r="H149" i="53"/>
  <c r="H216" i="53"/>
  <c r="G83" i="81"/>
  <c r="F29" i="72"/>
  <c r="F53" i="72" s="1"/>
  <c r="G84" i="83"/>
  <c r="F23" i="84"/>
  <c r="F54" i="84" s="1"/>
  <c r="G21" i="84"/>
  <c r="G52" i="84" s="1"/>
  <c r="H82" i="83"/>
  <c r="H21" i="84" s="1"/>
  <c r="H52" i="84" s="1"/>
  <c r="G91" i="83"/>
  <c r="F30" i="84"/>
  <c r="F61" i="84" s="1"/>
  <c r="J229" i="53"/>
  <c r="J162" i="53"/>
  <c r="G116" i="53"/>
  <c r="J204" i="53"/>
  <c r="J137" i="53"/>
  <c r="E37" i="61"/>
  <c r="B9" i="21"/>
  <c r="F32" i="84"/>
  <c r="G93" i="83"/>
  <c r="G32" i="84" s="1"/>
  <c r="G53" i="81"/>
  <c r="F22" i="55"/>
  <c r="F79" i="55" s="1"/>
  <c r="H239" i="55"/>
  <c r="F126" i="55"/>
  <c r="H184" i="55" s="1"/>
  <c r="F125" i="84"/>
  <c r="F142" i="84" s="1"/>
  <c r="H155" i="84" s="1"/>
  <c r="H163" i="84"/>
  <c r="H167" i="84"/>
  <c r="F126" i="84"/>
  <c r="F143" i="84" s="1"/>
  <c r="H156" i="84" s="1"/>
  <c r="H164" i="84"/>
  <c r="F124" i="84"/>
  <c r="F141" i="84" s="1"/>
  <c r="H208" i="53"/>
  <c r="H141" i="53"/>
  <c r="G271" i="55"/>
  <c r="E158" i="55"/>
  <c r="G217" i="55" s="1"/>
  <c r="H44" i="53"/>
  <c r="H97" i="53" s="1"/>
  <c r="H113" i="83"/>
  <c r="I44" i="53" s="1"/>
  <c r="I97" i="53" s="1"/>
  <c r="F45" i="84"/>
  <c r="G37" i="55"/>
  <c r="G94" i="55" s="1"/>
  <c r="H48" i="83"/>
  <c r="H37" i="55" s="1"/>
  <c r="H94" i="55" s="1"/>
  <c r="H252" i="55"/>
  <c r="F139" i="55"/>
  <c r="H197" i="55" s="1"/>
  <c r="H236" i="55"/>
  <c r="F123" i="55"/>
  <c r="H181" i="55" s="1"/>
  <c r="H50" i="83"/>
  <c r="H39" i="55" s="1"/>
  <c r="H96" i="55" s="1"/>
  <c r="G39" i="55"/>
  <c r="G96" i="55" s="1"/>
  <c r="M44" i="22"/>
  <c r="M46" i="22" s="1"/>
  <c r="N43" i="22" s="1"/>
  <c r="H53" i="83"/>
  <c r="H42" i="55" s="1"/>
  <c r="H99" i="55" s="1"/>
  <c r="G42" i="55"/>
  <c r="G99" i="55" s="1"/>
  <c r="F27" i="55"/>
  <c r="F84" i="55" s="1"/>
  <c r="G58" i="81"/>
  <c r="G90" i="83"/>
  <c r="F29" i="84"/>
  <c r="F60" i="84" s="1"/>
  <c r="G267" i="55"/>
  <c r="E154" i="55"/>
  <c r="G213" i="55" s="1"/>
  <c r="J198" i="53"/>
  <c r="J131" i="53"/>
  <c r="E146" i="72"/>
  <c r="E148" i="72" s="1"/>
  <c r="E159" i="72"/>
  <c r="O40" i="22"/>
  <c r="P37" i="22" s="1"/>
  <c r="G188" i="53"/>
  <c r="G251" i="53"/>
  <c r="I241" i="53"/>
  <c r="I177" i="53"/>
  <c r="G61" i="83"/>
  <c r="F50" i="55"/>
  <c r="F107" i="55" s="1"/>
  <c r="H25" i="53"/>
  <c r="H78" i="53" s="1"/>
  <c r="H108" i="81"/>
  <c r="I25" i="53" s="1"/>
  <c r="I78" i="53" s="1"/>
  <c r="H278" i="55"/>
  <c r="F168" i="55"/>
  <c r="H227" i="55" s="1"/>
  <c r="H240" i="55"/>
  <c r="F127" i="55"/>
  <c r="H185" i="55" s="1"/>
  <c r="H233" i="53"/>
  <c r="H166" i="53"/>
  <c r="G268" i="55"/>
  <c r="E155" i="55"/>
  <c r="G214" i="55" s="1"/>
  <c r="H69" i="83"/>
  <c r="H58" i="55" s="1"/>
  <c r="H115" i="55" s="1"/>
  <c r="G58" i="55"/>
  <c r="G115" i="55" s="1"/>
  <c r="H237" i="53"/>
  <c r="H170" i="53"/>
  <c r="J227" i="53"/>
  <c r="J160" i="53"/>
  <c r="H111" i="83"/>
  <c r="I42" i="53" s="1"/>
  <c r="I95" i="53" s="1"/>
  <c r="H42" i="53"/>
  <c r="H95" i="53" s="1"/>
  <c r="H217" i="53"/>
  <c r="H150" i="53"/>
  <c r="G273" i="55"/>
  <c r="E160" i="55"/>
  <c r="G219" i="55" s="1"/>
  <c r="D12" i="84"/>
  <c r="D42" i="84"/>
  <c r="G59" i="83"/>
  <c r="F48" i="55"/>
  <c r="F105" i="55" s="1"/>
  <c r="H235" i="55"/>
  <c r="F122" i="55"/>
  <c r="H180" i="55" s="1"/>
  <c r="I204" i="53"/>
  <c r="I137" i="53"/>
  <c r="H234" i="53"/>
  <c r="H167" i="53"/>
  <c r="H48" i="81"/>
  <c r="H17" i="55" s="1"/>
  <c r="H74" i="55" s="1"/>
  <c r="G17" i="55"/>
  <c r="G74" i="55" s="1"/>
  <c r="E132" i="55"/>
  <c r="G190" i="55" s="1"/>
  <c r="G245" i="55"/>
  <c r="G34" i="84"/>
  <c r="G62" i="84" s="1"/>
  <c r="H95" i="83"/>
  <c r="H34" i="84" s="1"/>
  <c r="H62" i="84" s="1"/>
  <c r="I199" i="53"/>
  <c r="I132" i="53"/>
  <c r="H103" i="81"/>
  <c r="I20" i="53" s="1"/>
  <c r="I73" i="53" s="1"/>
  <c r="H20" i="53"/>
  <c r="H73" i="53" s="1"/>
  <c r="E33" i="55"/>
  <c r="G14" i="55"/>
  <c r="G71" i="55" s="1"/>
  <c r="H45" i="81"/>
  <c r="H14" i="55" s="1"/>
  <c r="H71" i="55" s="1"/>
  <c r="F148" i="55"/>
  <c r="H207" i="55" s="1"/>
  <c r="H261" i="55"/>
  <c r="N64" i="22"/>
  <c r="O61" i="22" s="1"/>
  <c r="L45" i="22"/>
  <c r="L66" i="22"/>
  <c r="C97" i="22" s="1"/>
  <c r="E136" i="55"/>
  <c r="G194" i="55" s="1"/>
  <c r="G249" i="55"/>
  <c r="H52" i="83"/>
  <c r="H41" i="55" s="1"/>
  <c r="H98" i="55" s="1"/>
  <c r="G41" i="55"/>
  <c r="G98" i="55" s="1"/>
  <c r="G56" i="83"/>
  <c r="F45" i="55"/>
  <c r="F102" i="55" s="1"/>
  <c r="J226" i="53"/>
  <c r="J159" i="53"/>
  <c r="H262" i="55"/>
  <c r="F149" i="55"/>
  <c r="H208" i="55" s="1"/>
  <c r="I203" i="53"/>
  <c r="I136" i="53"/>
  <c r="H211" i="53"/>
  <c r="H144" i="53"/>
  <c r="H258" i="55"/>
  <c r="F145" i="55"/>
  <c r="H204" i="55" s="1"/>
  <c r="H48" i="53"/>
  <c r="H101" i="53" s="1"/>
  <c r="H117" i="83"/>
  <c r="I48" i="53" s="1"/>
  <c r="I101" i="53" s="1"/>
  <c r="J241" i="53"/>
  <c r="J177" i="53"/>
  <c r="G18" i="84"/>
  <c r="G49" i="84" s="1"/>
  <c r="H79" i="83"/>
  <c r="H18" i="84" s="1"/>
  <c r="H49" i="84" s="1"/>
  <c r="G51" i="81"/>
  <c r="F20" i="55"/>
  <c r="F77" i="55" s="1"/>
  <c r="F166" i="55"/>
  <c r="H225" i="55" s="1"/>
  <c r="H276" i="55"/>
  <c r="J223" i="53"/>
  <c r="J156" i="53"/>
  <c r="J224" i="53"/>
  <c r="J157" i="53"/>
  <c r="E61" i="55"/>
  <c r="M50" i="22"/>
  <c r="M52" i="22" s="1"/>
  <c r="M65" i="22"/>
  <c r="G18" i="55"/>
  <c r="G75" i="55" s="1"/>
  <c r="H49" i="81"/>
  <c r="H18" i="55" s="1"/>
  <c r="H75" i="55" s="1"/>
  <c r="H114" i="83"/>
  <c r="I45" i="53" s="1"/>
  <c r="I98" i="53" s="1"/>
  <c r="H45" i="53"/>
  <c r="H98" i="53" s="1"/>
  <c r="G57" i="83"/>
  <c r="F46" i="55"/>
  <c r="F103" i="55" s="1"/>
  <c r="H277" i="55"/>
  <c r="F167" i="55"/>
  <c r="H226" i="55" s="1"/>
  <c r="H118" i="83"/>
  <c r="I49" i="53" s="1"/>
  <c r="I102" i="53" s="1"/>
  <c r="H49" i="53"/>
  <c r="H102" i="53" s="1"/>
  <c r="G245" i="53"/>
  <c r="G182" i="53"/>
  <c r="I227" i="53"/>
  <c r="I160" i="53"/>
  <c r="H80" i="83"/>
  <c r="H19" i="84" s="1"/>
  <c r="H50" i="84" s="1"/>
  <c r="G19" i="84"/>
  <c r="G50" i="84" s="1"/>
  <c r="H47" i="81"/>
  <c r="H16" i="55" s="1"/>
  <c r="H73" i="55" s="1"/>
  <c r="G16" i="55"/>
  <c r="G73" i="55" s="1"/>
  <c r="F49" i="72"/>
  <c r="G79" i="81"/>
  <c r="G152" i="72"/>
  <c r="E95" i="72"/>
  <c r="G139" i="72" s="1"/>
  <c r="E96" i="72"/>
  <c r="G67" i="22"/>
  <c r="H51" i="22"/>
  <c r="H112" i="81"/>
  <c r="I29" i="53" s="1"/>
  <c r="I82" i="53" s="1"/>
  <c r="H29" i="53"/>
  <c r="H82" i="53" s="1"/>
  <c r="F51" i="55"/>
  <c r="F108" i="55" s="1"/>
  <c r="G62" i="83"/>
  <c r="G76" i="81"/>
  <c r="F22" i="72"/>
  <c r="F46" i="72" s="1"/>
  <c r="J222" i="53"/>
  <c r="J155" i="53"/>
  <c r="G248" i="55"/>
  <c r="E135" i="55"/>
  <c r="G193" i="55" s="1"/>
  <c r="G247" i="53"/>
  <c r="G184" i="53"/>
  <c r="E157" i="55"/>
  <c r="G216" i="55" s="1"/>
  <c r="G270" i="55"/>
  <c r="H107" i="81"/>
  <c r="I24" i="53" s="1"/>
  <c r="I77" i="53" s="1"/>
  <c r="H24" i="53"/>
  <c r="H77" i="53" s="1"/>
  <c r="H44" i="81"/>
  <c r="H13" i="55" s="1"/>
  <c r="H70" i="55" s="1"/>
  <c r="G13" i="55"/>
  <c r="G70" i="55" s="1"/>
  <c r="G118" i="53"/>
  <c r="G266" i="55"/>
  <c r="E153" i="55"/>
  <c r="G212" i="55" s="1"/>
  <c r="H115" i="83"/>
  <c r="I46" i="53" s="1"/>
  <c r="I99" i="53" s="1"/>
  <c r="H46" i="53"/>
  <c r="H99" i="53" s="1"/>
  <c r="H77" i="83"/>
  <c r="H16" i="84" s="1"/>
  <c r="H47" i="84" s="1"/>
  <c r="G16" i="84"/>
  <c r="G47" i="84" s="1"/>
  <c r="G15" i="72"/>
  <c r="G39" i="72" s="1"/>
  <c r="H69" i="81"/>
  <c r="H15" i="72" s="1"/>
  <c r="H39" i="72" s="1"/>
  <c r="G88" i="83"/>
  <c r="F27" i="84"/>
  <c r="F58" i="84" s="1"/>
  <c r="F124" i="55"/>
  <c r="H182" i="55" s="1"/>
  <c r="H237" i="55"/>
  <c r="I221" i="53"/>
  <c r="I154" i="53"/>
  <c r="G54" i="81"/>
  <c r="F23" i="55"/>
  <c r="F80" i="55" s="1"/>
  <c r="G20" i="72"/>
  <c r="G44" i="72" s="1"/>
  <c r="H74" i="81"/>
  <c r="H20" i="72" s="1"/>
  <c r="H44" i="72" s="1"/>
  <c r="H72" i="81"/>
  <c r="H18" i="72" s="1"/>
  <c r="H42" i="72" s="1"/>
  <c r="G18" i="72"/>
  <c r="G42" i="72" s="1"/>
  <c r="J199" i="53"/>
  <c r="J132" i="53"/>
  <c r="H143" i="53"/>
  <c r="H210" i="53"/>
  <c r="H153" i="72"/>
  <c r="F63" i="72"/>
  <c r="F64" i="72"/>
  <c r="G274" i="55"/>
  <c r="E161" i="55"/>
  <c r="G220" i="55" s="1"/>
  <c r="H235" i="53"/>
  <c r="H168" i="53"/>
  <c r="J240" i="53"/>
  <c r="J176" i="53"/>
  <c r="H260" i="55"/>
  <c r="F147" i="55"/>
  <c r="H206" i="55" s="1"/>
  <c r="I178" i="53"/>
  <c r="I242" i="53"/>
  <c r="J200" i="53"/>
  <c r="J133" i="53"/>
  <c r="G269" i="55"/>
  <c r="E156" i="55"/>
  <c r="G215" i="55" s="1"/>
  <c r="J186" i="55"/>
  <c r="G140" i="72"/>
  <c r="G43" i="55"/>
  <c r="G100" i="55" s="1"/>
  <c r="H54" i="83"/>
  <c r="H43" i="55" s="1"/>
  <c r="H100" i="55" s="1"/>
  <c r="H102" i="81"/>
  <c r="I19" i="53" s="1"/>
  <c r="I72" i="53" s="1"/>
  <c r="H19" i="53"/>
  <c r="H72" i="53" s="1"/>
  <c r="G86" i="83"/>
  <c r="F25" i="84"/>
  <c r="F56" i="84" s="1"/>
  <c r="H164" i="53"/>
  <c r="H231" i="53"/>
  <c r="H142" i="53"/>
  <c r="H209" i="53"/>
  <c r="H110" i="81"/>
  <c r="I27" i="53" s="1"/>
  <c r="I80" i="53" s="1"/>
  <c r="H27" i="53"/>
  <c r="H80" i="53" s="1"/>
  <c r="G59" i="81"/>
  <c r="F28" i="55"/>
  <c r="F85" i="55" s="1"/>
  <c r="F37" i="72"/>
  <c r="G62" i="81"/>
  <c r="F31" i="55"/>
  <c r="F88" i="55" s="1"/>
  <c r="J239" i="53"/>
  <c r="J175" i="53"/>
  <c r="F92" i="55"/>
  <c r="H238" i="53"/>
  <c r="H171" i="53"/>
  <c r="G254" i="53"/>
  <c r="Q56" i="22"/>
  <c r="Q58" i="22" s="1"/>
  <c r="I198" i="53"/>
  <c r="I131" i="53"/>
  <c r="G87" i="83"/>
  <c r="F26" i="84"/>
  <c r="F57" i="84" s="1"/>
  <c r="G60" i="81"/>
  <c r="F29" i="55"/>
  <c r="F86" i="55" s="1"/>
  <c r="H146" i="53"/>
  <c r="H213" i="53"/>
  <c r="J197" i="53"/>
  <c r="J130" i="53"/>
  <c r="J228" i="53"/>
  <c r="J161" i="53"/>
  <c r="G16" i="72"/>
  <c r="G40" i="72" s="1"/>
  <c r="H70" i="81"/>
  <c r="H16" i="72" s="1"/>
  <c r="H40" i="72" s="1"/>
  <c r="H230" i="53"/>
  <c r="H163" i="53"/>
  <c r="G52" i="81"/>
  <c r="F21" i="55"/>
  <c r="F78" i="55" s="1"/>
  <c r="G56" i="81"/>
  <c r="F25" i="55"/>
  <c r="F82" i="55" s="1"/>
  <c r="J225" i="53"/>
  <c r="J158" i="53"/>
  <c r="H139" i="53"/>
  <c r="H206" i="53"/>
  <c r="H53" i="53"/>
  <c r="H106" i="53" s="1"/>
  <c r="I174" i="53" s="1"/>
  <c r="H122" i="83"/>
  <c r="I53" i="53" s="1"/>
  <c r="I106" i="53" s="1"/>
  <c r="H67" i="83"/>
  <c r="H56" i="55" s="1"/>
  <c r="H113" i="55" s="1"/>
  <c r="G56" i="55"/>
  <c r="G113" i="55" s="1"/>
  <c r="H71" i="81"/>
  <c r="H41" i="72" s="1"/>
  <c r="G41" i="72"/>
  <c r="F24" i="84"/>
  <c r="F55" i="84" s="1"/>
  <c r="G85" i="83"/>
  <c r="G119" i="53"/>
  <c r="H97" i="83"/>
  <c r="H36" i="84" s="1"/>
  <c r="H64" i="84" s="1"/>
  <c r="G36" i="84"/>
  <c r="G64" i="84" s="1"/>
  <c r="I202" i="53"/>
  <c r="I135" i="53"/>
  <c r="G92" i="83"/>
  <c r="G31" i="84" s="1"/>
  <c r="F31" i="84"/>
  <c r="E120" i="55"/>
  <c r="G233" i="55"/>
  <c r="G55" i="81"/>
  <c r="F24" i="55"/>
  <c r="F81" i="55" s="1"/>
  <c r="G84" i="81"/>
  <c r="F30" i="72"/>
  <c r="F54" i="72" s="1"/>
  <c r="I201" i="53"/>
  <c r="I134" i="53"/>
  <c r="G141" i="72"/>
  <c r="F28" i="84"/>
  <c r="F59" i="84" s="1"/>
  <c r="G89" i="83"/>
  <c r="D35" i="72"/>
  <c r="F156" i="72"/>
  <c r="D172" i="29"/>
  <c r="D157" i="29"/>
  <c r="D142" i="29"/>
  <c r="D127" i="29"/>
  <c r="D34" i="29"/>
  <c r="G246" i="53"/>
  <c r="G183" i="53"/>
  <c r="H263" i="55"/>
  <c r="F150" i="55"/>
  <c r="H209" i="55" s="1"/>
  <c r="H81" i="83"/>
  <c r="H20" i="84" s="1"/>
  <c r="H51" i="84" s="1"/>
  <c r="G20" i="84"/>
  <c r="G51" i="84" s="1"/>
  <c r="I159" i="53"/>
  <c r="I226" i="53"/>
  <c r="H43" i="81"/>
  <c r="H12" i="55" s="1"/>
  <c r="H69" i="55" s="1"/>
  <c r="G12" i="55"/>
  <c r="G69" i="55" s="1"/>
  <c r="F125" i="55"/>
  <c r="H183" i="55" s="1"/>
  <c r="H238" i="55"/>
  <c r="G77" i="81"/>
  <c r="F23" i="72"/>
  <c r="F47" i="72" s="1"/>
  <c r="G83" i="83"/>
  <c r="F22" i="84"/>
  <c r="F53" i="84" s="1"/>
  <c r="I222" i="53"/>
  <c r="I155" i="53"/>
  <c r="G94" i="83"/>
  <c r="G33" i="84" s="1"/>
  <c r="F33" i="84"/>
  <c r="H212" i="53"/>
  <c r="H145" i="53"/>
  <c r="G82" i="81"/>
  <c r="F28" i="72"/>
  <c r="F52" i="72" s="1"/>
  <c r="J202" i="53"/>
  <c r="J135" i="53"/>
  <c r="H154" i="72"/>
  <c r="F78" i="72"/>
  <c r="F79" i="72"/>
  <c r="H105" i="81"/>
  <c r="I22" i="53" s="1"/>
  <c r="I75" i="53" s="1"/>
  <c r="H22" i="53"/>
  <c r="H75" i="53" s="1"/>
  <c r="G60" i="83"/>
  <c r="F49" i="55"/>
  <c r="F106" i="55" s="1"/>
  <c r="H232" i="53"/>
  <c r="H165" i="53"/>
  <c r="G14" i="84"/>
  <c r="H75" i="83"/>
  <c r="H14" i="84" s="1"/>
  <c r="E133" i="55"/>
  <c r="G191" i="55" s="1"/>
  <c r="G246" i="55"/>
  <c r="G30" i="55"/>
  <c r="G87" i="55" s="1"/>
  <c r="H61" i="81"/>
  <c r="H30" i="55" s="1"/>
  <c r="H87" i="55" s="1"/>
  <c r="F48" i="72"/>
  <c r="G78" i="81"/>
  <c r="J201" i="53"/>
  <c r="J134" i="53"/>
  <c r="F285" i="55"/>
  <c r="F178" i="55"/>
  <c r="F284" i="55"/>
  <c r="H121" i="83"/>
  <c r="I52" i="53" s="1"/>
  <c r="I105" i="53" s="1"/>
  <c r="H52" i="53"/>
  <c r="H105" i="53" s="1"/>
  <c r="I173" i="53" s="1"/>
  <c r="H207" i="53"/>
  <c r="H140" i="53"/>
  <c r="E39" i="84"/>
  <c r="E140" i="55"/>
  <c r="G198" i="55" s="1"/>
  <c r="G253" i="55"/>
  <c r="H51" i="83"/>
  <c r="H40" i="55" s="1"/>
  <c r="H97" i="55" s="1"/>
  <c r="G40" i="55"/>
  <c r="G97" i="55" s="1"/>
  <c r="J203" i="53"/>
  <c r="J136" i="53"/>
  <c r="H106" i="81"/>
  <c r="I23" i="53" s="1"/>
  <c r="I76" i="53" s="1"/>
  <c r="H23" i="53"/>
  <c r="H76" i="53" s="1"/>
  <c r="H47" i="83"/>
  <c r="H36" i="55" s="1"/>
  <c r="H93" i="55" s="1"/>
  <c r="G36" i="55"/>
  <c r="G93" i="55" s="1"/>
  <c r="H236" i="53"/>
  <c r="H169" i="53"/>
  <c r="G253" i="53"/>
  <c r="G154" i="84"/>
  <c r="G159" i="84" s="1"/>
  <c r="G169" i="84"/>
  <c r="G168" i="84"/>
  <c r="G251" i="55"/>
  <c r="E138" i="55"/>
  <c r="G196" i="55" s="1"/>
  <c r="D11" i="23"/>
  <c r="E129" i="55"/>
  <c r="G187" i="55" s="1"/>
  <c r="G242" i="55"/>
  <c r="H68" i="83"/>
  <c r="H57" i="55" s="1"/>
  <c r="H114" i="55" s="1"/>
  <c r="G57" i="55"/>
  <c r="G114" i="55" s="1"/>
  <c r="I223" i="53"/>
  <c r="I156" i="53"/>
  <c r="I157" i="53"/>
  <c r="I224" i="53"/>
  <c r="G257" i="55"/>
  <c r="E144" i="55"/>
  <c r="G203" i="55" s="1"/>
  <c r="L68" i="22"/>
  <c r="H98" i="83"/>
  <c r="H37" i="84" s="1"/>
  <c r="H65" i="84" s="1"/>
  <c r="G37" i="84"/>
  <c r="G65" i="84" s="1"/>
  <c r="H42" i="81"/>
  <c r="H11" i="55" s="1"/>
  <c r="G11" i="55"/>
  <c r="I197" i="53"/>
  <c r="I130" i="53"/>
  <c r="I228" i="53"/>
  <c r="I161" i="53"/>
  <c r="F31" i="72"/>
  <c r="F55" i="72" s="1"/>
  <c r="G85" i="81"/>
  <c r="H111" i="81"/>
  <c r="I28" i="53" s="1"/>
  <c r="I81" i="53" s="1"/>
  <c r="H28" i="53"/>
  <c r="H81" i="53" s="1"/>
  <c r="H155" i="72"/>
  <c r="F70" i="72"/>
  <c r="H142" i="72" s="1"/>
  <c r="F71" i="72"/>
  <c r="G243" i="55"/>
  <c r="E130" i="55"/>
  <c r="G188" i="55" s="1"/>
  <c r="G247" i="55"/>
  <c r="E134" i="55"/>
  <c r="G192" i="55" s="1"/>
  <c r="I225" i="53"/>
  <c r="I158" i="53"/>
  <c r="H18" i="53"/>
  <c r="H71" i="53" s="1"/>
  <c r="H101" i="81"/>
  <c r="I18" i="53" s="1"/>
  <c r="I71" i="53" s="1"/>
  <c r="G57" i="81"/>
  <c r="F26" i="55"/>
  <c r="F83" i="55" s="1"/>
  <c r="I229" i="53"/>
  <c r="I162" i="53"/>
  <c r="H275" i="55"/>
  <c r="F165" i="55"/>
  <c r="H224" i="55" s="1"/>
  <c r="G115" i="53"/>
  <c r="G114" i="53"/>
  <c r="H76" i="83"/>
  <c r="H15" i="84" s="1"/>
  <c r="H46" i="84" s="1"/>
  <c r="G15" i="84"/>
  <c r="G46" i="84" s="1"/>
  <c r="G55" i="83"/>
  <c r="F44" i="55"/>
  <c r="F101" i="55" s="1"/>
  <c r="H73" i="81"/>
  <c r="H19" i="72" s="1"/>
  <c r="H43" i="72" s="1"/>
  <c r="G19" i="72"/>
  <c r="G43" i="72" s="1"/>
  <c r="G244" i="55"/>
  <c r="E131" i="55"/>
  <c r="G189" i="55" s="1"/>
  <c r="H46" i="81"/>
  <c r="H15" i="55" s="1"/>
  <c r="H72" i="55" s="1"/>
  <c r="G15" i="55"/>
  <c r="G72" i="55" s="1"/>
  <c r="J154" i="53"/>
  <c r="J221" i="53"/>
  <c r="D10" i="55"/>
  <c r="D65" i="55"/>
  <c r="F200" i="55" s="1"/>
  <c r="G14" i="72"/>
  <c r="G38" i="72" s="1"/>
  <c r="H68" i="81"/>
  <c r="H14" i="72" s="1"/>
  <c r="H38" i="72" s="1"/>
  <c r="E36" i="61"/>
  <c r="G63" i="83"/>
  <c r="F52" i="55"/>
  <c r="F109" i="55" s="1"/>
  <c r="F27" i="72"/>
  <c r="F51" i="72" s="1"/>
  <c r="G81" i="81"/>
  <c r="H51" i="53"/>
  <c r="H104" i="53" s="1"/>
  <c r="I172" i="53" s="1"/>
  <c r="H120" i="83"/>
  <c r="I51" i="53" s="1"/>
  <c r="I104" i="53" s="1"/>
  <c r="H259" i="55"/>
  <c r="F146" i="55"/>
  <c r="H205" i="55" s="1"/>
  <c r="G17" i="84"/>
  <c r="G48" i="84" s="1"/>
  <c r="H78" i="83"/>
  <c r="H17" i="84" s="1"/>
  <c r="H48" i="84" s="1"/>
  <c r="H47" i="53"/>
  <c r="H100" i="53" s="1"/>
  <c r="H116" i="83"/>
  <c r="I47" i="53" s="1"/>
  <c r="I100" i="53" s="1"/>
  <c r="I240" i="53"/>
  <c r="I176" i="53"/>
  <c r="H49" i="83"/>
  <c r="H38" i="55" s="1"/>
  <c r="H95" i="55" s="1"/>
  <c r="G38" i="55"/>
  <c r="G95" i="55" s="1"/>
  <c r="J242" i="53"/>
  <c r="J178" i="53"/>
  <c r="I133" i="53"/>
  <c r="I200" i="53"/>
  <c r="F47" i="55"/>
  <c r="F104" i="55" s="1"/>
  <c r="G58" i="83"/>
  <c r="E17" i="61"/>
  <c r="H96" i="83"/>
  <c r="H35" i="84" s="1"/>
  <c r="H63" i="84" s="1"/>
  <c r="G35" i="84"/>
  <c r="G63" i="84" s="1"/>
  <c r="G39" i="61"/>
  <c r="D13" i="21"/>
  <c r="H265" i="55"/>
  <c r="F152" i="55"/>
  <c r="H211" i="55" s="1"/>
  <c r="H264" i="55"/>
  <c r="F151" i="55"/>
  <c r="H210" i="55" s="1"/>
  <c r="H43" i="53"/>
  <c r="H96" i="53" s="1"/>
  <c r="H112" i="83"/>
  <c r="I43" i="53" s="1"/>
  <c r="I96" i="53" s="1"/>
  <c r="H74" i="53"/>
  <c r="H104" i="81"/>
  <c r="I74" i="53" s="1"/>
  <c r="H215" i="53"/>
  <c r="H148" i="53"/>
  <c r="G250" i="55"/>
  <c r="E137" i="55"/>
  <c r="G195" i="55" s="1"/>
  <c r="H67" i="81"/>
  <c r="F65" i="22"/>
  <c r="E13" i="69" s="1"/>
  <c r="E15" i="69" s="1"/>
  <c r="F52" i="22"/>
  <c r="I239" i="53"/>
  <c r="I175" i="53"/>
  <c r="G35" i="55"/>
  <c r="H46" i="83"/>
  <c r="H35" i="55" s="1"/>
  <c r="H119" i="83"/>
  <c r="I50" i="53" s="1"/>
  <c r="I103" i="53" s="1"/>
  <c r="H50" i="53"/>
  <c r="H103" i="53" s="1"/>
  <c r="F259" i="53"/>
  <c r="J174" i="53" l="1"/>
  <c r="C8" i="21"/>
  <c r="D122" i="29" s="1"/>
  <c r="J173" i="53"/>
  <c r="F7" i="61"/>
  <c r="E289" i="55" s="1"/>
  <c r="G156" i="72"/>
  <c r="D12" i="21"/>
  <c r="E141" i="29" s="1"/>
  <c r="D171" i="29"/>
  <c r="H6" i="61"/>
  <c r="G259" i="53" s="1"/>
  <c r="D33" i="29"/>
  <c r="D126" i="29"/>
  <c r="G144" i="72"/>
  <c r="E290" i="55"/>
  <c r="D141" i="29"/>
  <c r="G191" i="53"/>
  <c r="E12" i="21" s="1"/>
  <c r="F17" i="61"/>
  <c r="G8" i="61" s="1"/>
  <c r="G160" i="72"/>
  <c r="G161" i="72"/>
  <c r="F262" i="53"/>
  <c r="F274" i="53" s="1"/>
  <c r="F276" i="53" s="1"/>
  <c r="H15" i="61"/>
  <c r="I6" i="61" s="1"/>
  <c r="H118" i="53"/>
  <c r="I187" i="53" s="1"/>
  <c r="N44" i="22"/>
  <c r="N46" i="22" s="1"/>
  <c r="O43" i="22" s="1"/>
  <c r="G92" i="55"/>
  <c r="I209" i="53"/>
  <c r="I142" i="53"/>
  <c r="J235" i="53"/>
  <c r="J168" i="53"/>
  <c r="H63" i="83"/>
  <c r="H52" i="55" s="1"/>
  <c r="H109" i="55" s="1"/>
  <c r="G52" i="55"/>
  <c r="G109" i="55" s="1"/>
  <c r="H245" i="53"/>
  <c r="H182" i="53"/>
  <c r="J139" i="53"/>
  <c r="J206" i="53"/>
  <c r="J216" i="53"/>
  <c r="J149" i="53"/>
  <c r="H114" i="53"/>
  <c r="J276" i="55"/>
  <c r="H166" i="55"/>
  <c r="H139" i="55"/>
  <c r="J252" i="55"/>
  <c r="H271" i="55"/>
  <c r="F158" i="55"/>
  <c r="H217" i="55" s="1"/>
  <c r="H152" i="72"/>
  <c r="F95" i="72"/>
  <c r="H139" i="72" s="1"/>
  <c r="F96" i="72"/>
  <c r="H85" i="83"/>
  <c r="H24" i="84" s="1"/>
  <c r="H55" i="84" s="1"/>
  <c r="G24" i="84"/>
  <c r="G55" i="84" s="1"/>
  <c r="F61" i="55"/>
  <c r="F137" i="55"/>
  <c r="H195" i="55" s="1"/>
  <c r="H250" i="55"/>
  <c r="J265" i="55"/>
  <c r="H152" i="55"/>
  <c r="I217" i="53"/>
  <c r="I150" i="53"/>
  <c r="I233" i="53"/>
  <c r="I166" i="53"/>
  <c r="N49" i="22"/>
  <c r="M68" i="22"/>
  <c r="J236" i="53"/>
  <c r="J169" i="53"/>
  <c r="M45" i="22"/>
  <c r="L67" i="22"/>
  <c r="J208" i="53"/>
  <c r="J141" i="53"/>
  <c r="H126" i="55"/>
  <c r="J239" i="55"/>
  <c r="H270" i="55"/>
  <c r="F157" i="55"/>
  <c r="H216" i="55" s="1"/>
  <c r="I230" i="53"/>
  <c r="I163" i="53"/>
  <c r="J213" i="53"/>
  <c r="J146" i="53"/>
  <c r="P38" i="22"/>
  <c r="P39" i="22" s="1"/>
  <c r="J264" i="55"/>
  <c r="H151" i="55"/>
  <c r="G22" i="55"/>
  <c r="G79" i="55" s="1"/>
  <c r="H53" i="81"/>
  <c r="H22" i="55" s="1"/>
  <c r="H79" i="55" s="1"/>
  <c r="H247" i="53"/>
  <c r="H184" i="53"/>
  <c r="J278" i="55"/>
  <c r="H168" i="55"/>
  <c r="G26" i="72"/>
  <c r="G50" i="72" s="1"/>
  <c r="H80" i="81"/>
  <c r="H26" i="72" s="1"/>
  <c r="H50" i="72" s="1"/>
  <c r="H254" i="53"/>
  <c r="D167" i="72"/>
  <c r="D169" i="72" s="1"/>
  <c r="D177" i="84"/>
  <c r="F8" i="61"/>
  <c r="J260" i="55"/>
  <c r="H147" i="55"/>
  <c r="I235" i="53"/>
  <c r="I168" i="53"/>
  <c r="H81" i="81"/>
  <c r="H27" i="72" s="1"/>
  <c r="H51" i="72" s="1"/>
  <c r="G27" i="72"/>
  <c r="G51" i="72" s="1"/>
  <c r="I153" i="72"/>
  <c r="G63" i="72"/>
  <c r="G64" i="72"/>
  <c r="H183" i="53"/>
  <c r="H246" i="53"/>
  <c r="H68" i="55"/>
  <c r="H39" i="61"/>
  <c r="E13" i="21"/>
  <c r="G145" i="55"/>
  <c r="I204" i="55" s="1"/>
  <c r="I258" i="55"/>
  <c r="G45" i="84"/>
  <c r="Q57" i="22"/>
  <c r="H89" i="83"/>
  <c r="H28" i="84" s="1"/>
  <c r="H59" i="84" s="1"/>
  <c r="G28" i="84"/>
  <c r="G59" i="84" s="1"/>
  <c r="J275" i="55"/>
  <c r="H165" i="55"/>
  <c r="G25" i="55"/>
  <c r="G82" i="55" s="1"/>
  <c r="H56" i="81"/>
  <c r="H25" i="55" s="1"/>
  <c r="H82" i="55" s="1"/>
  <c r="G26" i="84"/>
  <c r="G57" i="84" s="1"/>
  <c r="H87" i="83"/>
  <c r="H26" i="84" s="1"/>
  <c r="H57" i="84" s="1"/>
  <c r="H257" i="55"/>
  <c r="F144" i="55"/>
  <c r="H203" i="55" s="1"/>
  <c r="H62" i="81"/>
  <c r="H31" i="55" s="1"/>
  <c r="H88" i="55" s="1"/>
  <c r="G31" i="55"/>
  <c r="G88" i="55" s="1"/>
  <c r="H59" i="81"/>
  <c r="H28" i="55" s="1"/>
  <c r="H85" i="55" s="1"/>
  <c r="G28" i="55"/>
  <c r="G85" i="55" s="1"/>
  <c r="H140" i="72"/>
  <c r="H76" i="81"/>
  <c r="H22" i="72" s="1"/>
  <c r="H46" i="72" s="1"/>
  <c r="G22" i="72"/>
  <c r="G46" i="72" s="1"/>
  <c r="H267" i="55"/>
  <c r="F154" i="55"/>
  <c r="H213" i="55" s="1"/>
  <c r="H59" i="83"/>
  <c r="H48" i="55" s="1"/>
  <c r="H105" i="55" s="1"/>
  <c r="G48" i="55"/>
  <c r="G105" i="55" s="1"/>
  <c r="I213" i="53"/>
  <c r="I146" i="53"/>
  <c r="J232" i="53"/>
  <c r="J165" i="53"/>
  <c r="G30" i="84"/>
  <c r="G61" i="84" s="1"/>
  <c r="H91" i="83"/>
  <c r="H30" i="84" s="1"/>
  <c r="H61" i="84" s="1"/>
  <c r="F120" i="55"/>
  <c r="H233" i="55"/>
  <c r="G159" i="72"/>
  <c r="G146" i="72"/>
  <c r="J231" i="53"/>
  <c r="J164" i="53"/>
  <c r="H58" i="83"/>
  <c r="H47" i="55" s="1"/>
  <c r="H104" i="55" s="1"/>
  <c r="G47" i="55"/>
  <c r="G104" i="55" s="1"/>
  <c r="B15" i="21"/>
  <c r="C29" i="29"/>
  <c r="C152" i="29"/>
  <c r="C137" i="29"/>
  <c r="C167" i="29"/>
  <c r="C122" i="29"/>
  <c r="G124" i="55"/>
  <c r="I182" i="55" s="1"/>
  <c r="I237" i="55"/>
  <c r="H248" i="55"/>
  <c r="F135" i="55"/>
  <c r="H193" i="55" s="1"/>
  <c r="H119" i="53"/>
  <c r="J258" i="55"/>
  <c r="H145" i="55"/>
  <c r="J204" i="55" s="1"/>
  <c r="F229" i="55"/>
  <c r="G48" i="72"/>
  <c r="H78" i="81"/>
  <c r="H48" i="72" s="1"/>
  <c r="I210" i="53"/>
  <c r="I143" i="53"/>
  <c r="J234" i="55"/>
  <c r="H121" i="55"/>
  <c r="G30" i="72"/>
  <c r="G54" i="72" s="1"/>
  <c r="H84" i="81"/>
  <c r="H30" i="72" s="1"/>
  <c r="H54" i="72" s="1"/>
  <c r="G285" i="55"/>
  <c r="G178" i="55"/>
  <c r="G284" i="55"/>
  <c r="H243" i="55"/>
  <c r="F130" i="55"/>
  <c r="H188" i="55" s="1"/>
  <c r="J155" i="72"/>
  <c r="H70" i="72"/>
  <c r="H71" i="72"/>
  <c r="I119" i="53"/>
  <c r="H251" i="55"/>
  <c r="F138" i="55"/>
  <c r="H196" i="55" s="1"/>
  <c r="I215" i="53"/>
  <c r="I148" i="53"/>
  <c r="I207" i="53"/>
  <c r="I140" i="53"/>
  <c r="H88" i="83"/>
  <c r="H27" i="84" s="1"/>
  <c r="H58" i="84" s="1"/>
  <c r="G27" i="84"/>
  <c r="G58" i="84" s="1"/>
  <c r="I212" i="53"/>
  <c r="I145" i="53"/>
  <c r="G51" i="55"/>
  <c r="G108" i="55" s="1"/>
  <c r="H62" i="83"/>
  <c r="H51" i="55" s="1"/>
  <c r="H108" i="55" s="1"/>
  <c r="I238" i="55"/>
  <c r="G125" i="55"/>
  <c r="I183" i="55" s="1"/>
  <c r="I237" i="53"/>
  <c r="I170" i="53"/>
  <c r="H268" i="55"/>
  <c r="F155" i="55"/>
  <c r="H214" i="55" s="1"/>
  <c r="J240" i="55"/>
  <c r="H127" i="55"/>
  <c r="M66" i="22"/>
  <c r="D97" i="22" s="1"/>
  <c r="M51" i="22"/>
  <c r="F129" i="55"/>
  <c r="H187" i="55" s="1"/>
  <c r="H242" i="55"/>
  <c r="H56" i="83"/>
  <c r="H45" i="55" s="1"/>
  <c r="H102" i="55" s="1"/>
  <c r="G45" i="55"/>
  <c r="G102" i="55" s="1"/>
  <c r="E10" i="55"/>
  <c r="E65" i="55"/>
  <c r="G200" i="55" s="1"/>
  <c r="I277" i="55"/>
  <c r="G167" i="55"/>
  <c r="I226" i="55" s="1"/>
  <c r="H272" i="55"/>
  <c r="F159" i="55"/>
  <c r="H218" i="55" s="1"/>
  <c r="F37" i="61"/>
  <c r="F41" i="61" s="1"/>
  <c r="C9" i="21"/>
  <c r="F136" i="55"/>
  <c r="H194" i="55" s="1"/>
  <c r="H249" i="55"/>
  <c r="I259" i="55"/>
  <c r="G146" i="55"/>
  <c r="I205" i="55" s="1"/>
  <c r="I232" i="53"/>
  <c r="I165" i="53"/>
  <c r="E21" i="61"/>
  <c r="E42" i="61" s="1"/>
  <c r="F33" i="55"/>
  <c r="E157" i="29"/>
  <c r="E34" i="29"/>
  <c r="E172" i="29"/>
  <c r="E127" i="29"/>
  <c r="E142" i="29"/>
  <c r="I260" i="55"/>
  <c r="G147" i="55"/>
  <c r="I206" i="55" s="1"/>
  <c r="J153" i="72"/>
  <c r="H63" i="72"/>
  <c r="H64" i="72"/>
  <c r="H266" i="55"/>
  <c r="F153" i="55"/>
  <c r="H212" i="55" s="1"/>
  <c r="G68" i="55"/>
  <c r="J211" i="53"/>
  <c r="J144" i="53"/>
  <c r="J262" i="55"/>
  <c r="H149" i="55"/>
  <c r="E12" i="84"/>
  <c r="E42" i="84"/>
  <c r="H45" i="84"/>
  <c r="F158" i="72"/>
  <c r="F157" i="72"/>
  <c r="H55" i="81"/>
  <c r="H24" i="55" s="1"/>
  <c r="H81" i="55" s="1"/>
  <c r="G24" i="55"/>
  <c r="G81" i="55" s="1"/>
  <c r="I275" i="55"/>
  <c r="G165" i="55"/>
  <c r="I224" i="55" s="1"/>
  <c r="H247" i="55"/>
  <c r="F134" i="55"/>
  <c r="H192" i="55" s="1"/>
  <c r="I114" i="53"/>
  <c r="F140" i="55"/>
  <c r="H198" i="55" s="1"/>
  <c r="H253" i="55"/>
  <c r="H78" i="72"/>
  <c r="J154" i="72"/>
  <c r="H79" i="72"/>
  <c r="H54" i="81"/>
  <c r="H23" i="55" s="1"/>
  <c r="H80" i="55" s="1"/>
  <c r="G23" i="55"/>
  <c r="G80" i="55" s="1"/>
  <c r="J234" i="53"/>
  <c r="J167" i="53"/>
  <c r="I235" i="55"/>
  <c r="G122" i="55"/>
  <c r="I180" i="55" s="1"/>
  <c r="H79" i="81"/>
  <c r="H49" i="72" s="1"/>
  <c r="G49" i="72"/>
  <c r="J263" i="55"/>
  <c r="H150" i="55"/>
  <c r="H123" i="55"/>
  <c r="J236" i="55"/>
  <c r="I164" i="84"/>
  <c r="I167" i="84"/>
  <c r="G126" i="84"/>
  <c r="G143" i="84" s="1"/>
  <c r="I156" i="84" s="1"/>
  <c r="G124" i="84"/>
  <c r="G141" i="84" s="1"/>
  <c r="I163" i="84"/>
  <c r="G125" i="84"/>
  <c r="G142" i="84" s="1"/>
  <c r="I155" i="84" s="1"/>
  <c r="H90" i="83"/>
  <c r="H29" i="84" s="1"/>
  <c r="H60" i="84" s="1"/>
  <c r="G29" i="84"/>
  <c r="G60" i="84" s="1"/>
  <c r="J261" i="55"/>
  <c r="H148" i="55"/>
  <c r="C168" i="29"/>
  <c r="C30" i="29"/>
  <c r="C153" i="29"/>
  <c r="C138" i="29"/>
  <c r="C123" i="29"/>
  <c r="B18" i="21"/>
  <c r="E49" i="61"/>
  <c r="D302" i="55"/>
  <c r="D305" i="55" s="1"/>
  <c r="I171" i="53"/>
  <c r="I238" i="53"/>
  <c r="H37" i="72"/>
  <c r="H55" i="83"/>
  <c r="H44" i="55" s="1"/>
  <c r="H101" i="55" s="1"/>
  <c r="G44" i="55"/>
  <c r="G101" i="55" s="1"/>
  <c r="I206" i="53"/>
  <c r="I139" i="53"/>
  <c r="H85" i="81"/>
  <c r="H31" i="72" s="1"/>
  <c r="H55" i="72" s="1"/>
  <c r="G31" i="72"/>
  <c r="G55" i="72" s="1"/>
  <c r="I252" i="55"/>
  <c r="G139" i="55"/>
  <c r="I197" i="55" s="1"/>
  <c r="H60" i="83"/>
  <c r="H49" i="55" s="1"/>
  <c r="H106" i="55" s="1"/>
  <c r="G49" i="55"/>
  <c r="G106" i="55" s="1"/>
  <c r="H141" i="72"/>
  <c r="H77" i="81"/>
  <c r="H23" i="72" s="1"/>
  <c r="H47" i="72" s="1"/>
  <c r="G23" i="72"/>
  <c r="G47" i="72" s="1"/>
  <c r="I234" i="55"/>
  <c r="G121" i="55"/>
  <c r="I179" i="55" s="1"/>
  <c r="I118" i="53"/>
  <c r="H86" i="83"/>
  <c r="H25" i="84" s="1"/>
  <c r="H56" i="84" s="1"/>
  <c r="G25" i="84"/>
  <c r="G56" i="84" s="1"/>
  <c r="I265" i="55"/>
  <c r="G152" i="55"/>
  <c r="I211" i="55" s="1"/>
  <c r="H122" i="55"/>
  <c r="J180" i="55" s="1"/>
  <c r="J235" i="55"/>
  <c r="J217" i="53"/>
  <c r="J150" i="53"/>
  <c r="J233" i="53"/>
  <c r="J166" i="53"/>
  <c r="I236" i="53"/>
  <c r="I169" i="53"/>
  <c r="O62" i="22"/>
  <c r="O63" i="22" s="1"/>
  <c r="I236" i="55"/>
  <c r="G123" i="55"/>
  <c r="I181" i="55" s="1"/>
  <c r="J230" i="53"/>
  <c r="J163" i="53"/>
  <c r="H58" i="81"/>
  <c r="H27" i="55" s="1"/>
  <c r="H84" i="55" s="1"/>
  <c r="G27" i="55"/>
  <c r="G84" i="55" s="1"/>
  <c r="J259" i="55"/>
  <c r="H146" i="55"/>
  <c r="G23" i="84"/>
  <c r="G54" i="84" s="1"/>
  <c r="H84" i="83"/>
  <c r="H23" i="84" s="1"/>
  <c r="H54" i="84" s="1"/>
  <c r="J238" i="53"/>
  <c r="J171" i="53"/>
  <c r="G37" i="72"/>
  <c r="H92" i="55"/>
  <c r="F68" i="22"/>
  <c r="G49" i="22"/>
  <c r="J209" i="53"/>
  <c r="J142" i="53"/>
  <c r="I164" i="53"/>
  <c r="I231" i="53"/>
  <c r="H269" i="55"/>
  <c r="F156" i="55"/>
  <c r="H215" i="55" s="1"/>
  <c r="J172" i="53"/>
  <c r="H274" i="55"/>
  <c r="F161" i="55"/>
  <c r="H220" i="55" s="1"/>
  <c r="E41" i="61"/>
  <c r="F282" i="55"/>
  <c r="F283" i="55"/>
  <c r="H124" i="55"/>
  <c r="J237" i="55"/>
  <c r="G26" i="55"/>
  <c r="G83" i="55" s="1"/>
  <c r="H57" i="81"/>
  <c r="H26" i="55" s="1"/>
  <c r="H83" i="55" s="1"/>
  <c r="I216" i="53"/>
  <c r="I149" i="53"/>
  <c r="H116" i="53"/>
  <c r="H115" i="53"/>
  <c r="I276" i="55"/>
  <c r="G166" i="55"/>
  <c r="I225" i="55" s="1"/>
  <c r="F11" i="23"/>
  <c r="E11" i="23" s="1"/>
  <c r="I211" i="53"/>
  <c r="I144" i="53"/>
  <c r="I262" i="55"/>
  <c r="G149" i="55"/>
  <c r="I208" i="55" s="1"/>
  <c r="J210" i="53"/>
  <c r="J143" i="53"/>
  <c r="H82" i="81"/>
  <c r="H28" i="72" s="1"/>
  <c r="H52" i="72" s="1"/>
  <c r="G28" i="72"/>
  <c r="G52" i="72" s="1"/>
  <c r="H83" i="83"/>
  <c r="H22" i="84" s="1"/>
  <c r="H53" i="84" s="1"/>
  <c r="G22" i="84"/>
  <c r="G53" i="84" s="1"/>
  <c r="F159" i="72"/>
  <c r="F146" i="72"/>
  <c r="F148" i="72" s="1"/>
  <c r="F133" i="55"/>
  <c r="H191" i="55" s="1"/>
  <c r="H246" i="55"/>
  <c r="H251" i="53"/>
  <c r="H188" i="53"/>
  <c r="H52" i="81"/>
  <c r="H21" i="55" s="1"/>
  <c r="H78" i="55" s="1"/>
  <c r="G21" i="55"/>
  <c r="G78" i="55" s="1"/>
  <c r="G70" i="72"/>
  <c r="I142" i="72" s="1"/>
  <c r="I155" i="72"/>
  <c r="G71" i="72"/>
  <c r="I115" i="53"/>
  <c r="I116" i="53"/>
  <c r="H60" i="81"/>
  <c r="H29" i="55" s="1"/>
  <c r="H86" i="55" s="1"/>
  <c r="G29" i="55"/>
  <c r="G86" i="55" s="1"/>
  <c r="F32" i="72"/>
  <c r="J215" i="53"/>
  <c r="J148" i="53"/>
  <c r="J207" i="53"/>
  <c r="J140" i="53"/>
  <c r="G78" i="72"/>
  <c r="I154" i="72"/>
  <c r="G79" i="72"/>
  <c r="F132" i="55"/>
  <c r="H190" i="55" s="1"/>
  <c r="H245" i="55"/>
  <c r="I234" i="53"/>
  <c r="I167" i="53"/>
  <c r="H187" i="53"/>
  <c r="H250" i="53"/>
  <c r="J212" i="53"/>
  <c r="J145" i="53"/>
  <c r="H273" i="55"/>
  <c r="F160" i="55"/>
  <c r="H219" i="55" s="1"/>
  <c r="I51" i="22"/>
  <c r="I67" i="22" s="1"/>
  <c r="H67" i="22"/>
  <c r="J238" i="55"/>
  <c r="H125" i="55"/>
  <c r="J170" i="53"/>
  <c r="J237" i="53"/>
  <c r="G46" i="55"/>
  <c r="G103" i="55" s="1"/>
  <c r="H57" i="83"/>
  <c r="H46" i="55" s="1"/>
  <c r="H103" i="55" s="1"/>
  <c r="I240" i="55"/>
  <c r="G127" i="55"/>
  <c r="I185" i="55" s="1"/>
  <c r="H51" i="81"/>
  <c r="H20" i="55" s="1"/>
  <c r="H77" i="55" s="1"/>
  <c r="G20" i="55"/>
  <c r="G77" i="55" s="1"/>
  <c r="I263" i="55"/>
  <c r="G150" i="55"/>
  <c r="I209" i="55" s="1"/>
  <c r="I141" i="53"/>
  <c r="I208" i="53"/>
  <c r="J163" i="84"/>
  <c r="J164" i="84"/>
  <c r="J167" i="84"/>
  <c r="H125" i="84"/>
  <c r="H142" i="84" s="1"/>
  <c r="J155" i="84" s="1"/>
  <c r="H126" i="84"/>
  <c r="H143" i="84" s="1"/>
  <c r="H124" i="84"/>
  <c r="H141" i="84" s="1"/>
  <c r="I239" i="55"/>
  <c r="G126" i="55"/>
  <c r="I184" i="55" s="1"/>
  <c r="F165" i="84"/>
  <c r="F166" i="84"/>
  <c r="J277" i="55"/>
  <c r="H167" i="55"/>
  <c r="J226" i="55" s="1"/>
  <c r="H61" i="83"/>
  <c r="H50" i="55" s="1"/>
  <c r="H107" i="55" s="1"/>
  <c r="G50" i="55"/>
  <c r="G107" i="55" s="1"/>
  <c r="C22" i="21"/>
  <c r="F47" i="61"/>
  <c r="E274" i="53"/>
  <c r="E276" i="53" s="1"/>
  <c r="G151" i="55"/>
  <c r="I210" i="55" s="1"/>
  <c r="I264" i="55"/>
  <c r="I261" i="55"/>
  <c r="G148" i="55"/>
  <c r="I207" i="55" s="1"/>
  <c r="F39" i="84"/>
  <c r="H154" i="84"/>
  <c r="H159" i="84" s="1"/>
  <c r="H169" i="84"/>
  <c r="H168" i="84"/>
  <c r="H244" i="55"/>
  <c r="F131" i="55"/>
  <c r="H189" i="55" s="1"/>
  <c r="H83" i="81"/>
  <c r="H29" i="72" s="1"/>
  <c r="H53" i="72" s="1"/>
  <c r="G29" i="72"/>
  <c r="G53" i="72" s="1"/>
  <c r="I278" i="55"/>
  <c r="G168" i="55"/>
  <c r="I227" i="55" s="1"/>
  <c r="G157" i="72"/>
  <c r="G158" i="72"/>
  <c r="H253" i="53"/>
  <c r="E171" i="29" l="1"/>
  <c r="D29" i="29"/>
  <c r="D137" i="29"/>
  <c r="D152" i="29"/>
  <c r="D167" i="29"/>
  <c r="E44" i="61"/>
  <c r="N45" i="22"/>
  <c r="J156" i="84"/>
  <c r="H61" i="55"/>
  <c r="E156" i="29"/>
  <c r="E33" i="29"/>
  <c r="E126" i="29"/>
  <c r="I253" i="53"/>
  <c r="G148" i="72"/>
  <c r="E9" i="21" s="1"/>
  <c r="J183" i="55"/>
  <c r="O64" i="22"/>
  <c r="P61" i="22" s="1"/>
  <c r="P62" i="22" s="1"/>
  <c r="P63" i="22" s="1"/>
  <c r="C144" i="29"/>
  <c r="E292" i="55"/>
  <c r="F49" i="61" s="1"/>
  <c r="J205" i="55"/>
  <c r="E167" i="72"/>
  <c r="H17" i="61"/>
  <c r="I8" i="61" s="1"/>
  <c r="G16" i="61"/>
  <c r="H7" i="61" s="1"/>
  <c r="F21" i="61"/>
  <c r="F42" i="61" s="1"/>
  <c r="F44" i="61" s="1"/>
  <c r="G260" i="53"/>
  <c r="G262" i="53" s="1"/>
  <c r="J254" i="53"/>
  <c r="G47" i="61"/>
  <c r="H34" i="61"/>
  <c r="D22" i="21"/>
  <c r="J182" i="55"/>
  <c r="I254" i="53"/>
  <c r="I250" i="53"/>
  <c r="G229" i="55"/>
  <c r="E8" i="21" s="1"/>
  <c r="C159" i="29"/>
  <c r="I15" i="61"/>
  <c r="J6" i="61" s="1"/>
  <c r="G17" i="61"/>
  <c r="H8" i="61" s="1"/>
  <c r="H191" i="53"/>
  <c r="I34" i="61" s="1"/>
  <c r="G32" i="72"/>
  <c r="G35" i="72" s="1"/>
  <c r="H161" i="72"/>
  <c r="I39" i="61"/>
  <c r="F13" i="21"/>
  <c r="I141" i="72"/>
  <c r="J249" i="55"/>
  <c r="H136" i="55"/>
  <c r="H132" i="55"/>
  <c r="J245" i="55"/>
  <c r="J246" i="55"/>
  <c r="H133" i="55"/>
  <c r="G120" i="55"/>
  <c r="I233" i="55"/>
  <c r="J179" i="55"/>
  <c r="H178" i="55"/>
  <c r="H285" i="55"/>
  <c r="H284" i="55"/>
  <c r="I270" i="55"/>
  <c r="G157" i="55"/>
  <c r="I216" i="55" s="1"/>
  <c r="H134" i="55"/>
  <c r="J247" i="55"/>
  <c r="G39" i="84"/>
  <c r="J233" i="55"/>
  <c r="H120" i="55"/>
  <c r="I274" i="55"/>
  <c r="G161" i="55"/>
  <c r="I220" i="55" s="1"/>
  <c r="F12" i="84"/>
  <c r="F42" i="84"/>
  <c r="I272" i="55"/>
  <c r="G159" i="55"/>
  <c r="I218" i="55" s="1"/>
  <c r="J154" i="84"/>
  <c r="J169" i="84"/>
  <c r="J168" i="84"/>
  <c r="J266" i="55"/>
  <c r="H153" i="55"/>
  <c r="I154" i="84"/>
  <c r="I159" i="84" s="1"/>
  <c r="I169" i="84"/>
  <c r="I168" i="84"/>
  <c r="J269" i="55"/>
  <c r="H156" i="55"/>
  <c r="F172" i="29"/>
  <c r="F157" i="29"/>
  <c r="F34" i="29"/>
  <c r="F142" i="29"/>
  <c r="F127" i="29"/>
  <c r="I140" i="72"/>
  <c r="E166" i="72"/>
  <c r="J227" i="55"/>
  <c r="J274" i="55"/>
  <c r="H161" i="55"/>
  <c r="F166" i="72"/>
  <c r="H259" i="53"/>
  <c r="J272" i="55"/>
  <c r="H159" i="55"/>
  <c r="G18" i="61"/>
  <c r="H9" i="61" s="1"/>
  <c r="J246" i="53"/>
  <c r="J183" i="53"/>
  <c r="I243" i="55"/>
  <c r="G130" i="55"/>
  <c r="I188" i="55" s="1"/>
  <c r="I183" i="53"/>
  <c r="I246" i="53"/>
  <c r="J248" i="55"/>
  <c r="H135" i="55"/>
  <c r="G52" i="22"/>
  <c r="G65" i="22"/>
  <c r="F13" i="69" s="1"/>
  <c r="F15" i="69" s="1"/>
  <c r="G12" i="61"/>
  <c r="I152" i="72"/>
  <c r="G95" i="72"/>
  <c r="I139" i="72" s="1"/>
  <c r="G96" i="72"/>
  <c r="H160" i="72"/>
  <c r="J207" i="55"/>
  <c r="J253" i="53"/>
  <c r="J181" i="55"/>
  <c r="J245" i="53"/>
  <c r="J182" i="53"/>
  <c r="G165" i="84"/>
  <c r="G166" i="84"/>
  <c r="F10" i="55"/>
  <c r="F65" i="55"/>
  <c r="H200" i="55" s="1"/>
  <c r="D168" i="29"/>
  <c r="D153" i="29"/>
  <c r="D138" i="29"/>
  <c r="D123" i="29"/>
  <c r="D129" i="29" s="1"/>
  <c r="D30" i="29"/>
  <c r="G282" i="55"/>
  <c r="G283" i="55"/>
  <c r="J273" i="55"/>
  <c r="H160" i="55"/>
  <c r="C15" i="21"/>
  <c r="G36" i="61"/>
  <c r="D8" i="21"/>
  <c r="C129" i="29"/>
  <c r="C36" i="29"/>
  <c r="H144" i="72"/>
  <c r="G140" i="55"/>
  <c r="I198" i="55" s="1"/>
  <c r="I253" i="55"/>
  <c r="J224" i="55"/>
  <c r="E52" i="61"/>
  <c r="B23" i="21"/>
  <c r="D186" i="84"/>
  <c r="D188" i="84" s="1"/>
  <c r="G131" i="55"/>
  <c r="I189" i="55" s="1"/>
  <c r="I244" i="55"/>
  <c r="P40" i="22"/>
  <c r="Q37" i="22" s="1"/>
  <c r="J184" i="55"/>
  <c r="N50" i="22"/>
  <c r="N66" i="22" s="1"/>
  <c r="E97" i="22" s="1"/>
  <c r="N65" i="22"/>
  <c r="J197" i="55"/>
  <c r="G61" i="55"/>
  <c r="F156" i="29"/>
  <c r="F141" i="29"/>
  <c r="F126" i="29"/>
  <c r="F171" i="29"/>
  <c r="F33" i="29"/>
  <c r="J242" i="55"/>
  <c r="H129" i="55"/>
  <c r="I268" i="55"/>
  <c r="G155" i="55"/>
  <c r="I214" i="55" s="1"/>
  <c r="H138" i="55"/>
  <c r="J251" i="55"/>
  <c r="J271" i="55"/>
  <c r="H158" i="55"/>
  <c r="I266" i="55"/>
  <c r="G153" i="55"/>
  <c r="I212" i="55" s="1"/>
  <c r="J140" i="72"/>
  <c r="J267" i="55"/>
  <c r="H154" i="55"/>
  <c r="J251" i="53"/>
  <c r="J188" i="53"/>
  <c r="I269" i="55"/>
  <c r="G156" i="55"/>
  <c r="I215" i="55" s="1"/>
  <c r="I250" i="55"/>
  <c r="G137" i="55"/>
  <c r="I195" i="55" s="1"/>
  <c r="O44" i="22"/>
  <c r="F35" i="72"/>
  <c r="H156" i="72"/>
  <c r="J247" i="53"/>
  <c r="J184" i="53"/>
  <c r="D9" i="21"/>
  <c r="G37" i="61"/>
  <c r="H144" i="55"/>
  <c r="J257" i="55"/>
  <c r="J185" i="55"/>
  <c r="I251" i="53"/>
  <c r="I188" i="53"/>
  <c r="J270" i="55"/>
  <c r="H157" i="55"/>
  <c r="J250" i="55"/>
  <c r="H137" i="55"/>
  <c r="I247" i="55"/>
  <c r="G134" i="55"/>
  <c r="I192" i="55" s="1"/>
  <c r="J244" i="55"/>
  <c r="H131" i="55"/>
  <c r="I245" i="53"/>
  <c r="I182" i="53"/>
  <c r="F12" i="61"/>
  <c r="I242" i="55"/>
  <c r="G129" i="55"/>
  <c r="I187" i="55" s="1"/>
  <c r="J268" i="55"/>
  <c r="H155" i="55"/>
  <c r="G138" i="55"/>
  <c r="I196" i="55" s="1"/>
  <c r="I251" i="55"/>
  <c r="H130" i="55"/>
  <c r="J243" i="55"/>
  <c r="G11" i="23"/>
  <c r="C12" i="23" s="1"/>
  <c r="I247" i="53"/>
  <c r="I184" i="53"/>
  <c r="I248" i="55"/>
  <c r="G135" i="55"/>
  <c r="I193" i="55" s="1"/>
  <c r="G136" i="55"/>
  <c r="I194" i="55" s="1"/>
  <c r="I249" i="55"/>
  <c r="J250" i="53"/>
  <c r="J187" i="53"/>
  <c r="J152" i="72"/>
  <c r="H95" i="72"/>
  <c r="H96" i="72"/>
  <c r="I271" i="55"/>
  <c r="G158" i="55"/>
  <c r="I217" i="55" s="1"/>
  <c r="H32" i="72"/>
  <c r="J209" i="55"/>
  <c r="G132" i="55"/>
  <c r="I190" i="55" s="1"/>
  <c r="I245" i="55"/>
  <c r="J141" i="72"/>
  <c r="I246" i="55"/>
  <c r="G133" i="55"/>
  <c r="I191" i="55" s="1"/>
  <c r="H39" i="84"/>
  <c r="J208" i="55"/>
  <c r="G33" i="55"/>
  <c r="I267" i="55"/>
  <c r="G154" i="55"/>
  <c r="I213" i="55" s="1"/>
  <c r="M67" i="22"/>
  <c r="I273" i="55"/>
  <c r="G160" i="55"/>
  <c r="I219" i="55" s="1"/>
  <c r="J142" i="72"/>
  <c r="C174" i="29"/>
  <c r="C6" i="68"/>
  <c r="H140" i="55"/>
  <c r="J253" i="55"/>
  <c r="H33" i="55"/>
  <c r="J206" i="55"/>
  <c r="B19" i="21"/>
  <c r="E50" i="61"/>
  <c r="D178" i="72"/>
  <c r="D180" i="72" s="1"/>
  <c r="J210" i="55"/>
  <c r="J211" i="55"/>
  <c r="J225" i="55"/>
  <c r="I257" i="55"/>
  <c r="G144" i="55"/>
  <c r="I203" i="55" s="1"/>
  <c r="J159" i="84" l="1"/>
  <c r="H13" i="21" s="1"/>
  <c r="J216" i="55"/>
  <c r="B25" i="21"/>
  <c r="C22" i="68" s="1"/>
  <c r="D36" i="29"/>
  <c r="D144" i="29"/>
  <c r="D159" i="29"/>
  <c r="D174" i="29"/>
  <c r="H37" i="61"/>
  <c r="O45" i="22"/>
  <c r="J220" i="55"/>
  <c r="J218" i="55"/>
  <c r="J217" i="55"/>
  <c r="E177" i="84"/>
  <c r="E186" i="84" s="1"/>
  <c r="E188" i="84" s="1"/>
  <c r="H36" i="61"/>
  <c r="E302" i="55"/>
  <c r="E305" i="55" s="1"/>
  <c r="C18" i="21"/>
  <c r="J139" i="72"/>
  <c r="G167" i="72"/>
  <c r="E169" i="72"/>
  <c r="C19" i="21" s="1"/>
  <c r="O46" i="22"/>
  <c r="P43" i="22" s="1"/>
  <c r="P44" i="22" s="1"/>
  <c r="F290" i="55"/>
  <c r="F292" i="55" s="1"/>
  <c r="G49" i="61" s="1"/>
  <c r="J203" i="55"/>
  <c r="I156" i="72"/>
  <c r="F12" i="21"/>
  <c r="G171" i="29" s="1"/>
  <c r="H260" i="53"/>
  <c r="H262" i="53" s="1"/>
  <c r="J144" i="72"/>
  <c r="E54" i="61"/>
  <c r="E55" i="61" s="1"/>
  <c r="E56" i="61" s="1"/>
  <c r="J198" i="55"/>
  <c r="J161" i="72"/>
  <c r="J191" i="53"/>
  <c r="H12" i="21" s="1"/>
  <c r="J189" i="55"/>
  <c r="F177" i="84"/>
  <c r="F186" i="84" s="1"/>
  <c r="F188" i="84" s="1"/>
  <c r="G21" i="61"/>
  <c r="G42" i="61" s="1"/>
  <c r="K15" i="61"/>
  <c r="J260" i="53" s="1"/>
  <c r="J190" i="55"/>
  <c r="J160" i="72"/>
  <c r="J188" i="55"/>
  <c r="I191" i="53"/>
  <c r="G12" i="21" s="1"/>
  <c r="J196" i="55"/>
  <c r="F167" i="72"/>
  <c r="F169" i="72" s="1"/>
  <c r="D19" i="21" s="1"/>
  <c r="J15" i="61"/>
  <c r="K6" i="61" s="1"/>
  <c r="Q38" i="22"/>
  <c r="Q39" i="22" s="1"/>
  <c r="H282" i="55"/>
  <c r="H283" i="55"/>
  <c r="G289" i="55"/>
  <c r="H12" i="61"/>
  <c r="D6" i="68"/>
  <c r="J215" i="55"/>
  <c r="F168" i="29"/>
  <c r="F153" i="29"/>
  <c r="F30" i="29"/>
  <c r="F138" i="29"/>
  <c r="F123" i="29"/>
  <c r="J178" i="55"/>
  <c r="J285" i="55"/>
  <c r="J284" i="55"/>
  <c r="J192" i="55"/>
  <c r="F167" i="29"/>
  <c r="E15" i="21"/>
  <c r="F152" i="29"/>
  <c r="F137" i="29"/>
  <c r="F122" i="29"/>
  <c r="F29" i="29"/>
  <c r="F36" i="29" s="1"/>
  <c r="I178" i="55"/>
  <c r="I284" i="55"/>
  <c r="I285" i="55"/>
  <c r="I159" i="72"/>
  <c r="I146" i="72"/>
  <c r="I259" i="53"/>
  <c r="H10" i="55"/>
  <c r="H65" i="55"/>
  <c r="J200" i="55" s="1"/>
  <c r="G10" i="55"/>
  <c r="G65" i="55"/>
  <c r="I200" i="55" s="1"/>
  <c r="H35" i="72"/>
  <c r="J156" i="72"/>
  <c r="J214" i="55"/>
  <c r="J195" i="55"/>
  <c r="G166" i="72"/>
  <c r="P64" i="22"/>
  <c r="Q61" i="22" s="1"/>
  <c r="J213" i="55"/>
  <c r="E167" i="29"/>
  <c r="E137" i="29"/>
  <c r="E122" i="29"/>
  <c r="D15" i="21"/>
  <c r="E29" i="29"/>
  <c r="E152" i="29"/>
  <c r="J219" i="55"/>
  <c r="H18" i="61"/>
  <c r="I9" i="61" s="1"/>
  <c r="H49" i="22"/>
  <c r="G68" i="22"/>
  <c r="J212" i="55"/>
  <c r="K39" i="61"/>
  <c r="H165" i="84"/>
  <c r="H166" i="84"/>
  <c r="H229" i="55"/>
  <c r="J191" i="55"/>
  <c r="I161" i="72"/>
  <c r="H12" i="84"/>
  <c r="H42" i="84"/>
  <c r="H158" i="72"/>
  <c r="H157" i="72"/>
  <c r="G157" i="29"/>
  <c r="G34" i="29"/>
  <c r="G172" i="29"/>
  <c r="G142" i="29"/>
  <c r="G127" i="29"/>
  <c r="H166" i="72"/>
  <c r="H16" i="61"/>
  <c r="J39" i="61"/>
  <c r="G13" i="21"/>
  <c r="N51" i="22"/>
  <c r="D12" i="23"/>
  <c r="E153" i="29"/>
  <c r="E168" i="29"/>
  <c r="E138" i="29"/>
  <c r="E123" i="29"/>
  <c r="E30" i="29"/>
  <c r="H159" i="72"/>
  <c r="H146" i="72"/>
  <c r="H148" i="72" s="1"/>
  <c r="J187" i="55"/>
  <c r="N52" i="22"/>
  <c r="E22" i="21"/>
  <c r="H47" i="61"/>
  <c r="G274" i="53"/>
  <c r="G276" i="53" s="1"/>
  <c r="G41" i="61"/>
  <c r="J193" i="55"/>
  <c r="I144" i="72"/>
  <c r="G12" i="84"/>
  <c r="G42" i="84"/>
  <c r="J194" i="55"/>
  <c r="I157" i="72"/>
  <c r="I158" i="72"/>
  <c r="I160" i="72"/>
  <c r="H41" i="61" l="1"/>
  <c r="F52" i="61"/>
  <c r="P45" i="22"/>
  <c r="C23" i="21"/>
  <c r="J34" i="61"/>
  <c r="E178" i="72"/>
  <c r="E180" i="72" s="1"/>
  <c r="G141" i="29"/>
  <c r="K34" i="61"/>
  <c r="D18" i="21"/>
  <c r="G126" i="29"/>
  <c r="G169" i="72"/>
  <c r="G178" i="72" s="1"/>
  <c r="G180" i="72" s="1"/>
  <c r="F302" i="55"/>
  <c r="F305" i="55" s="1"/>
  <c r="G33" i="29"/>
  <c r="G156" i="29"/>
  <c r="F50" i="61"/>
  <c r="D23" i="21"/>
  <c r="I148" i="72"/>
  <c r="G9" i="21" s="1"/>
  <c r="G177" i="84"/>
  <c r="E23" i="21" s="1"/>
  <c r="C11" i="68"/>
  <c r="C27" i="68" s="1"/>
  <c r="C28" i="68" s="1"/>
  <c r="C25" i="21"/>
  <c r="D162" i="29" s="1"/>
  <c r="D163" i="29" s="1"/>
  <c r="D164" i="29" s="1"/>
  <c r="C162" i="29"/>
  <c r="C163" i="29" s="1"/>
  <c r="C164" i="29" s="1"/>
  <c r="I47" i="61"/>
  <c r="F22" i="21"/>
  <c r="B38" i="21"/>
  <c r="B40" i="21" s="1"/>
  <c r="C106" i="29" s="1"/>
  <c r="C147" i="29"/>
  <c r="C148" i="29" s="1"/>
  <c r="C149" i="29" s="1"/>
  <c r="C177" i="29"/>
  <c r="C178" i="29" s="1"/>
  <c r="C179" i="29" s="1"/>
  <c r="C132" i="29"/>
  <c r="C133" i="29" s="1"/>
  <c r="C134" i="29" s="1"/>
  <c r="G52" i="61"/>
  <c r="H274" i="53"/>
  <c r="H276" i="53" s="1"/>
  <c r="C38" i="29"/>
  <c r="C40" i="29" s="1"/>
  <c r="C44" i="29" s="1"/>
  <c r="I260" i="53"/>
  <c r="I262" i="53" s="1"/>
  <c r="G22" i="21" s="1"/>
  <c r="G44" i="61"/>
  <c r="I17" i="61"/>
  <c r="H177" i="84" s="1"/>
  <c r="I229" i="55"/>
  <c r="G8" i="21" s="1"/>
  <c r="F159" i="29"/>
  <c r="G50" i="61"/>
  <c r="E36" i="29"/>
  <c r="E174" i="29"/>
  <c r="F178" i="72"/>
  <c r="F180" i="72" s="1"/>
  <c r="J17" i="61"/>
  <c r="I167" i="72" s="1"/>
  <c r="F129" i="29"/>
  <c r="F174" i="29"/>
  <c r="I16" i="61"/>
  <c r="H290" i="55" s="1"/>
  <c r="I157" i="29"/>
  <c r="I172" i="29"/>
  <c r="I127" i="29"/>
  <c r="I142" i="29"/>
  <c r="I34" i="29"/>
  <c r="J159" i="72"/>
  <c r="J146" i="72"/>
  <c r="J148" i="72" s="1"/>
  <c r="N67" i="22"/>
  <c r="J165" i="84"/>
  <c r="J166" i="84"/>
  <c r="I18" i="61"/>
  <c r="J9" i="61" s="1"/>
  <c r="F6" i="68"/>
  <c r="O49" i="22"/>
  <c r="N68" i="22"/>
  <c r="F12" i="23"/>
  <c r="E12" i="23" s="1"/>
  <c r="G290" i="55"/>
  <c r="G292" i="55" s="1"/>
  <c r="I7" i="61"/>
  <c r="H21" i="61"/>
  <c r="H42" i="61" s="1"/>
  <c r="F8" i="21"/>
  <c r="I36" i="61"/>
  <c r="E129" i="29"/>
  <c r="Q62" i="22"/>
  <c r="Q63" i="22" s="1"/>
  <c r="J229" i="55"/>
  <c r="Q40" i="22"/>
  <c r="I37" i="61"/>
  <c r="F9" i="21"/>
  <c r="I171" i="29"/>
  <c r="I141" i="29"/>
  <c r="I126" i="29"/>
  <c r="I156" i="29"/>
  <c r="I33" i="29"/>
  <c r="I165" i="84"/>
  <c r="I166" i="84"/>
  <c r="E6" i="68"/>
  <c r="J158" i="72"/>
  <c r="J157" i="72"/>
  <c r="H172" i="29"/>
  <c r="H157" i="29"/>
  <c r="H34" i="29"/>
  <c r="H142" i="29"/>
  <c r="H127" i="29"/>
  <c r="P46" i="22"/>
  <c r="Q43" i="22" s="1"/>
  <c r="H65" i="22"/>
  <c r="G13" i="69" s="1"/>
  <c r="G15" i="69" s="1"/>
  <c r="H52" i="22"/>
  <c r="E159" i="29"/>
  <c r="E144" i="29"/>
  <c r="I282" i="55"/>
  <c r="I283" i="55"/>
  <c r="J282" i="55"/>
  <c r="J283" i="55"/>
  <c r="F144" i="29"/>
  <c r="D11" i="62"/>
  <c r="J41" i="21"/>
  <c r="J259" i="53"/>
  <c r="J262" i="53" s="1"/>
  <c r="H156" i="29"/>
  <c r="H141" i="29"/>
  <c r="H126" i="29"/>
  <c r="H33" i="29"/>
  <c r="H171" i="29"/>
  <c r="D12" i="62" l="1"/>
  <c r="C12" i="29" s="1"/>
  <c r="D177" i="29"/>
  <c r="D178" i="29" s="1"/>
  <c r="D179" i="29" s="1"/>
  <c r="H44" i="61"/>
  <c r="F54" i="61"/>
  <c r="F55" i="61" s="1"/>
  <c r="D11" i="68" s="1"/>
  <c r="D27" i="68" s="1"/>
  <c r="D28" i="68" s="1"/>
  <c r="H50" i="61"/>
  <c r="J37" i="61"/>
  <c r="D147" i="29"/>
  <c r="D148" i="29" s="1"/>
  <c r="D149" i="29" s="1"/>
  <c r="E19" i="21"/>
  <c r="D132" i="29"/>
  <c r="D133" i="29" s="1"/>
  <c r="D134" i="29" s="1"/>
  <c r="C38" i="21"/>
  <c r="C40" i="21" s="1"/>
  <c r="D106" i="29" s="1"/>
  <c r="D22" i="68"/>
  <c r="G54" i="61"/>
  <c r="G55" i="61" s="1"/>
  <c r="E11" i="68" s="1"/>
  <c r="D25" i="21"/>
  <c r="D38" i="21" s="1"/>
  <c r="D40" i="21" s="1"/>
  <c r="H52" i="61"/>
  <c r="G186" i="84"/>
  <c r="G188" i="84" s="1"/>
  <c r="B45" i="21"/>
  <c r="D38" i="29"/>
  <c r="D40" i="29" s="1"/>
  <c r="D44" i="29" s="1"/>
  <c r="J36" i="61"/>
  <c r="J41" i="61" s="1"/>
  <c r="K8" i="61"/>
  <c r="J166" i="72" s="1"/>
  <c r="I274" i="53"/>
  <c r="I276" i="53" s="1"/>
  <c r="H167" i="72"/>
  <c r="H169" i="72" s="1"/>
  <c r="H178" i="72" s="1"/>
  <c r="H180" i="72" s="1"/>
  <c r="J8" i="61"/>
  <c r="I166" i="72" s="1"/>
  <c r="I169" i="72" s="1"/>
  <c r="K16" i="61"/>
  <c r="J290" i="55" s="1"/>
  <c r="J7" i="61"/>
  <c r="I289" i="55" s="1"/>
  <c r="K17" i="61"/>
  <c r="J47" i="61"/>
  <c r="G153" i="29"/>
  <c r="G30" i="29"/>
  <c r="G138" i="29"/>
  <c r="G123" i="29"/>
  <c r="G168" i="29"/>
  <c r="G12" i="23"/>
  <c r="C13" i="23" s="1"/>
  <c r="H152" i="29"/>
  <c r="H137" i="29"/>
  <c r="H122" i="29"/>
  <c r="H29" i="29"/>
  <c r="H167" i="29"/>
  <c r="G15" i="21"/>
  <c r="H49" i="61"/>
  <c r="E18" i="21"/>
  <c r="G302" i="55"/>
  <c r="G305" i="55" s="1"/>
  <c r="J16" i="61"/>
  <c r="I49" i="22"/>
  <c r="H68" i="22"/>
  <c r="J18" i="61"/>
  <c r="K9" i="61" s="1"/>
  <c r="H8" i="21"/>
  <c r="K36" i="61"/>
  <c r="Q64" i="22"/>
  <c r="G167" i="29"/>
  <c r="G29" i="29"/>
  <c r="G137" i="29"/>
  <c r="G122" i="29"/>
  <c r="G152" i="29"/>
  <c r="F15" i="21"/>
  <c r="O50" i="22"/>
  <c r="O52" i="22" s="1"/>
  <c r="O65" i="22"/>
  <c r="K18" i="61"/>
  <c r="H9" i="21"/>
  <c r="K37" i="61"/>
  <c r="H168" i="29"/>
  <c r="H153" i="29"/>
  <c r="H138" i="29"/>
  <c r="H123" i="29"/>
  <c r="H30" i="29"/>
  <c r="H289" i="55"/>
  <c r="H292" i="55" s="1"/>
  <c r="I12" i="61"/>
  <c r="I41" i="61"/>
  <c r="K47" i="61"/>
  <c r="H22" i="21"/>
  <c r="J274" i="53"/>
  <c r="J276" i="53" s="1"/>
  <c r="Q44" i="22"/>
  <c r="Q45" i="22" s="1"/>
  <c r="F23" i="21"/>
  <c r="I52" i="61"/>
  <c r="H186" i="84"/>
  <c r="H188" i="84" s="1"/>
  <c r="I21" i="61"/>
  <c r="I42" i="61" s="1"/>
  <c r="E21" i="62" l="1"/>
  <c r="D19" i="29"/>
  <c r="C80" i="29"/>
  <c r="C68" i="29"/>
  <c r="C91" i="29"/>
  <c r="D12" i="68"/>
  <c r="E162" i="29"/>
  <c r="E163" i="29" s="1"/>
  <c r="E164" i="29" s="1"/>
  <c r="E22" i="68"/>
  <c r="E177" i="29"/>
  <c r="E178" i="29" s="1"/>
  <c r="E179" i="29" s="1"/>
  <c r="E38" i="29"/>
  <c r="E40" i="29" s="1"/>
  <c r="E44" i="29" s="1"/>
  <c r="I177" i="84"/>
  <c r="J52" i="61" s="1"/>
  <c r="E147" i="29"/>
  <c r="E148" i="29" s="1"/>
  <c r="E149" i="29" s="1"/>
  <c r="I50" i="61"/>
  <c r="E132" i="29"/>
  <c r="E133" i="29" s="1"/>
  <c r="E134" i="29" s="1"/>
  <c r="E27" i="68"/>
  <c r="E28" i="68" s="1"/>
  <c r="E12" i="68"/>
  <c r="E25" i="21"/>
  <c r="F177" i="29" s="1"/>
  <c r="F178" i="29" s="1"/>
  <c r="F179" i="29" s="1"/>
  <c r="H54" i="61"/>
  <c r="H55" i="61" s="1"/>
  <c r="F11" i="68" s="1"/>
  <c r="F27" i="68" s="1"/>
  <c r="F28" i="68" s="1"/>
  <c r="C45" i="21"/>
  <c r="F19" i="21"/>
  <c r="Q46" i="22"/>
  <c r="J177" i="84"/>
  <c r="K52" i="61" s="1"/>
  <c r="J167" i="72"/>
  <c r="J169" i="72" s="1"/>
  <c r="J12" i="61"/>
  <c r="G159" i="29"/>
  <c r="G174" i="29"/>
  <c r="K21" i="61"/>
  <c r="K42" i="61" s="1"/>
  <c r="G36" i="29"/>
  <c r="H144" i="29"/>
  <c r="G129" i="29"/>
  <c r="K41" i="61"/>
  <c r="H129" i="29"/>
  <c r="F18" i="21"/>
  <c r="I49" i="61"/>
  <c r="H302" i="55"/>
  <c r="H305" i="55" s="1"/>
  <c r="K7" i="61"/>
  <c r="I290" i="55"/>
  <c r="I292" i="55" s="1"/>
  <c r="J21" i="61"/>
  <c r="J42" i="61" s="1"/>
  <c r="J44" i="61" s="1"/>
  <c r="H6" i="68"/>
  <c r="D45" i="21"/>
  <c r="E106" i="29"/>
  <c r="I44" i="61"/>
  <c r="P49" i="22"/>
  <c r="O68" i="22"/>
  <c r="H174" i="29"/>
  <c r="H159" i="29"/>
  <c r="G6" i="68"/>
  <c r="I52" i="22"/>
  <c r="I68" i="22" s="1"/>
  <c r="I65" i="22"/>
  <c r="H13" i="69" s="1"/>
  <c r="H15" i="69" s="1"/>
  <c r="I167" i="29"/>
  <c r="I137" i="29"/>
  <c r="I122" i="29"/>
  <c r="H15" i="21"/>
  <c r="I152" i="29"/>
  <c r="I29" i="29"/>
  <c r="I153" i="29"/>
  <c r="I30" i="29"/>
  <c r="I138" i="29"/>
  <c r="I123" i="29"/>
  <c r="I168" i="29"/>
  <c r="O66" i="22"/>
  <c r="F97" i="22" s="1"/>
  <c r="O51" i="22"/>
  <c r="G144" i="29"/>
  <c r="G19" i="21"/>
  <c r="J50" i="61"/>
  <c r="I178" i="72"/>
  <c r="I180" i="72" s="1"/>
  <c r="C7" i="68"/>
  <c r="C12" i="68" s="1"/>
  <c r="B33" i="69"/>
  <c r="E22" i="62"/>
  <c r="H36" i="29"/>
  <c r="D13" i="23"/>
  <c r="F22" i="68" l="1"/>
  <c r="F147" i="29"/>
  <c r="F148" i="29" s="1"/>
  <c r="F149" i="29" s="1"/>
  <c r="F12" i="68"/>
  <c r="I54" i="61"/>
  <c r="I55" i="61" s="1"/>
  <c r="G11" i="68" s="1"/>
  <c r="G27" i="68" s="1"/>
  <c r="G28" i="68" s="1"/>
  <c r="E38" i="21"/>
  <c r="E40" i="21" s="1"/>
  <c r="E45" i="21" s="1"/>
  <c r="F38" i="29"/>
  <c r="F40" i="29" s="1"/>
  <c r="F44" i="29" s="1"/>
  <c r="F162" i="29"/>
  <c r="F163" i="29" s="1"/>
  <c r="F164" i="29" s="1"/>
  <c r="F132" i="29"/>
  <c r="F133" i="29" s="1"/>
  <c r="F134" i="29" s="1"/>
  <c r="F25" i="21"/>
  <c r="G132" i="29" s="1"/>
  <c r="G133" i="29" s="1"/>
  <c r="G134" i="29" s="1"/>
  <c r="H23" i="21"/>
  <c r="K44" i="61"/>
  <c r="I186" i="84"/>
  <c r="I188" i="84" s="1"/>
  <c r="G23" i="21"/>
  <c r="J186" i="84"/>
  <c r="J188" i="84" s="1"/>
  <c r="I129" i="29"/>
  <c r="O67" i="22"/>
  <c r="P65" i="22"/>
  <c r="P50" i="22"/>
  <c r="P66" i="22" s="1"/>
  <c r="G97" i="22" s="1"/>
  <c r="H19" i="21"/>
  <c r="K50" i="61"/>
  <c r="J178" i="72"/>
  <c r="J180" i="72" s="1"/>
  <c r="I144" i="29"/>
  <c r="I159" i="29"/>
  <c r="I174" i="29"/>
  <c r="J49" i="61"/>
  <c r="J54" i="61" s="1"/>
  <c r="J55" i="61" s="1"/>
  <c r="H11" i="68" s="1"/>
  <c r="G18" i="21"/>
  <c r="I302" i="55"/>
  <c r="I305" i="55" s="1"/>
  <c r="I36" i="29"/>
  <c r="C33" i="69"/>
  <c r="F13" i="23"/>
  <c r="E13" i="23" s="1"/>
  <c r="I6" i="68"/>
  <c r="J289" i="55"/>
  <c r="J292" i="55" s="1"/>
  <c r="K12" i="61"/>
  <c r="P52" i="22" l="1"/>
  <c r="Q49" i="22" s="1"/>
  <c r="G147" i="29"/>
  <c r="G148" i="29" s="1"/>
  <c r="G149" i="29" s="1"/>
  <c r="G22" i="68"/>
  <c r="F106" i="29"/>
  <c r="G177" i="29"/>
  <c r="G178" i="29" s="1"/>
  <c r="G179" i="29" s="1"/>
  <c r="G38" i="29"/>
  <c r="G40" i="29" s="1"/>
  <c r="G44" i="29" s="1"/>
  <c r="G162" i="29"/>
  <c r="G163" i="29" s="1"/>
  <c r="G164" i="29" s="1"/>
  <c r="F38" i="21"/>
  <c r="F40" i="21" s="1"/>
  <c r="G106" i="29" s="1"/>
  <c r="G12" i="68"/>
  <c r="G25" i="21"/>
  <c r="H132" i="29" s="1"/>
  <c r="H133" i="29" s="1"/>
  <c r="H134" i="29" s="1"/>
  <c r="H27" i="68"/>
  <c r="H28" i="68" s="1"/>
  <c r="H12" i="68"/>
  <c r="G13" i="23"/>
  <c r="C14" i="23" s="1"/>
  <c r="H18" i="21"/>
  <c r="H25" i="21" s="1"/>
  <c r="K49" i="61"/>
  <c r="K54" i="61" s="1"/>
  <c r="K55" i="61" s="1"/>
  <c r="I11" i="68" s="1"/>
  <c r="I27" i="68" s="1"/>
  <c r="I28" i="68" s="1"/>
  <c r="J302" i="55"/>
  <c r="J305" i="55" s="1"/>
  <c r="D33" i="69"/>
  <c r="P51" i="22"/>
  <c r="P68" i="22" l="1"/>
  <c r="F45" i="21"/>
  <c r="H147" i="29"/>
  <c r="H148" i="29" s="1"/>
  <c r="H149" i="29" s="1"/>
  <c r="H162" i="29"/>
  <c r="H163" i="29" s="1"/>
  <c r="H164" i="29" s="1"/>
  <c r="H22" i="68"/>
  <c r="H177" i="29"/>
  <c r="H178" i="29" s="1"/>
  <c r="H179" i="29" s="1"/>
  <c r="H38" i="29"/>
  <c r="H40" i="29" s="1"/>
  <c r="H44" i="29" s="1"/>
  <c r="G38" i="21"/>
  <c r="G40" i="21" s="1"/>
  <c r="G45" i="21" s="1"/>
  <c r="I177" i="29"/>
  <c r="I178" i="29" s="1"/>
  <c r="I179" i="29" s="1"/>
  <c r="I22" i="68"/>
  <c r="I162" i="29"/>
  <c r="I163" i="29" s="1"/>
  <c r="I164" i="29" s="1"/>
  <c r="I147" i="29"/>
  <c r="I148" i="29" s="1"/>
  <c r="I149" i="29" s="1"/>
  <c r="H38" i="21"/>
  <c r="H40" i="21" s="1"/>
  <c r="I38" i="29"/>
  <c r="I40" i="29" s="1"/>
  <c r="I44" i="29" s="1"/>
  <c r="I132" i="29"/>
  <c r="I133" i="29" s="1"/>
  <c r="I134" i="29" s="1"/>
  <c r="D14" i="23"/>
  <c r="I12" i="68"/>
  <c r="E33" i="69"/>
  <c r="P67" i="22"/>
  <c r="Q65" i="22"/>
  <c r="Q50" i="22"/>
  <c r="Q66" i="22" s="1"/>
  <c r="H97" i="22" s="1"/>
  <c r="Q52" i="22" l="1"/>
  <c r="Q68" i="22" s="1"/>
  <c r="Q51" i="22"/>
  <c r="Q67" i="22" s="1"/>
  <c r="C46" i="29"/>
  <c r="D28" i="62" s="1"/>
  <c r="H106" i="29"/>
  <c r="F14" i="23"/>
  <c r="E14" i="23" s="1"/>
  <c r="F33" i="69"/>
  <c r="H45" i="21"/>
  <c r="I106" i="29"/>
  <c r="G33" i="69" l="1"/>
  <c r="G14" i="23"/>
  <c r="C15" i="23" s="1"/>
  <c r="H33" i="69" l="1"/>
  <c r="D15" i="23"/>
  <c r="F15" i="23" s="1"/>
  <c r="E15" i="23" s="1"/>
  <c r="G15" i="23" s="1"/>
  <c r="C16" i="23" s="1"/>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C109" i="29" l="1"/>
  <c r="C110" i="29" s="1"/>
  <c r="B47" i="21"/>
  <c r="B49" i="21" s="1"/>
  <c r="C25" i="68"/>
  <c r="G21" i="23"/>
  <c r="C112" i="29" l="1"/>
  <c r="C114" i="29" s="1"/>
  <c r="C22" i="23"/>
  <c r="B28" i="69"/>
  <c r="B31" i="69" s="1"/>
  <c r="B95" i="22"/>
  <c r="B98" i="22" s="1"/>
  <c r="B99" i="22" s="1"/>
  <c r="B50" i="21" s="1"/>
  <c r="C29" i="68" s="1"/>
  <c r="C30" i="68" s="1"/>
  <c r="C31" i="68" s="1"/>
  <c r="C33" i="68" s="1"/>
  <c r="J40" i="21"/>
  <c r="J42" i="21" s="1"/>
  <c r="B51" i="21" l="1"/>
  <c r="D22" i="23"/>
  <c r="D32" i="68"/>
  <c r="B8" i="69"/>
  <c r="B11" i="69" s="1"/>
  <c r="B20" i="69" s="1"/>
  <c r="B53" i="21" l="1"/>
  <c r="B37" i="69" s="1"/>
  <c r="B39" i="69" s="1"/>
  <c r="C77" i="29"/>
  <c r="D6" i="29"/>
  <c r="D11" i="29" s="1"/>
  <c r="D12" i="29" s="1"/>
  <c r="D92" i="29"/>
  <c r="D95" i="29" s="1"/>
  <c r="D96" i="29" s="1"/>
  <c r="C55" i="29"/>
  <c r="C60" i="29" s="1"/>
  <c r="C64" i="29" s="1"/>
  <c r="E22" i="23"/>
  <c r="C36" i="69" l="1"/>
  <c r="B41" i="69"/>
  <c r="B43" i="69" s="1"/>
  <c r="B46" i="69" s="1"/>
  <c r="G22" i="23"/>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D25" i="68" l="1"/>
  <c r="G33" i="23"/>
  <c r="D109" i="29"/>
  <c r="D110" i="29" s="1"/>
  <c r="C47" i="21"/>
  <c r="C49" i="21" s="1"/>
  <c r="D112" i="29" l="1"/>
  <c r="D114" i="29" s="1"/>
  <c r="C95" i="22"/>
  <c r="C98" i="22" s="1"/>
  <c r="C99" i="22" s="1"/>
  <c r="C50" i="21" s="1"/>
  <c r="D29" i="68" s="1"/>
  <c r="D30" i="68" s="1"/>
  <c r="D31" i="68" s="1"/>
  <c r="D33" i="68" s="1"/>
  <c r="C28" i="69"/>
  <c r="C31" i="69" s="1"/>
  <c r="C34" i="23"/>
  <c r="C51" i="21" l="1"/>
  <c r="D55" i="29" s="1"/>
  <c r="D60" i="29" s="1"/>
  <c r="D64" i="29" s="1"/>
  <c r="E32" i="68"/>
  <c r="C8" i="69"/>
  <c r="C11" i="69" s="1"/>
  <c r="C20" i="69" s="1"/>
  <c r="D34" i="23"/>
  <c r="E92" i="29" l="1"/>
  <c r="E95" i="29" s="1"/>
  <c r="E96" i="29" s="1"/>
  <c r="D77" i="29"/>
  <c r="C53" i="21"/>
  <c r="C37" i="69"/>
  <c r="C39" i="69" s="1"/>
  <c r="D36" i="69" s="1"/>
  <c r="E6" i="29"/>
  <c r="E11" i="29" s="1"/>
  <c r="E12" i="29" s="1"/>
  <c r="E34" i="23"/>
  <c r="C41" i="69" l="1"/>
  <c r="C43"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E109" i="29" l="1"/>
  <c r="E110" i="29" s="1"/>
  <c r="D47" i="21"/>
  <c r="D49" i="21" s="1"/>
  <c r="E25" i="68"/>
  <c r="G45" i="23"/>
  <c r="D95" i="22" l="1"/>
  <c r="D98" i="22" s="1"/>
  <c r="D99" i="22" s="1"/>
  <c r="D50" i="21" s="1"/>
  <c r="E29" i="68" s="1"/>
  <c r="E30" i="68" s="1"/>
  <c r="E31" i="68" s="1"/>
  <c r="E33" i="68" s="1"/>
  <c r="D28" i="69"/>
  <c r="D31" i="69" s="1"/>
  <c r="C46" i="23"/>
  <c r="E112" i="29"/>
  <c r="E114" i="29" s="1"/>
  <c r="D51" i="21" l="1"/>
  <c r="F92" i="29" s="1"/>
  <c r="F95" i="29" s="1"/>
  <c r="F96" i="29" s="1"/>
  <c r="D46" i="23"/>
  <c r="F32" i="68"/>
  <c r="D8" i="69"/>
  <c r="D11" i="69" s="1"/>
  <c r="D20" i="69" s="1"/>
  <c r="D37" i="69" l="1"/>
  <c r="D39" i="69" s="1"/>
  <c r="E36" i="69" s="1"/>
  <c r="E77" i="29"/>
  <c r="F6" i="29"/>
  <c r="F11" i="29" s="1"/>
  <c r="F12" i="29" s="1"/>
  <c r="E55" i="29"/>
  <c r="E60" i="29" s="1"/>
  <c r="E64" i="29" s="1"/>
  <c r="D53" i="21"/>
  <c r="E46" i="23"/>
  <c r="D41" i="69" l="1"/>
  <c r="D43" i="69" s="1"/>
  <c r="D46" i="69" s="1"/>
  <c r="G46" i="23"/>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47" i="21" l="1"/>
  <c r="E49" i="21" s="1"/>
  <c r="F109" i="29"/>
  <c r="F110" i="29" s="1"/>
  <c r="F25" i="68"/>
  <c r="G57" i="23"/>
  <c r="F112" i="29" l="1"/>
  <c r="F114" i="29" s="1"/>
  <c r="E28" i="69"/>
  <c r="E31" i="69" s="1"/>
  <c r="C58" i="23"/>
  <c r="E95" i="22"/>
  <c r="E98" i="22" s="1"/>
  <c r="E99" i="22" s="1"/>
  <c r="E50" i="21" s="1"/>
  <c r="F29" i="68" s="1"/>
  <c r="F30" i="68" s="1"/>
  <c r="F31" i="68" s="1"/>
  <c r="F33" i="68" s="1"/>
  <c r="E8" i="69" l="1"/>
  <c r="E11" i="69" s="1"/>
  <c r="E20" i="69" s="1"/>
  <c r="G32" i="68"/>
  <c r="D58" i="23"/>
  <c r="E51" i="21"/>
  <c r="E58" i="23" l="1"/>
  <c r="G6" i="29"/>
  <c r="G11" i="29" s="1"/>
  <c r="E37" i="69"/>
  <c r="E39" i="69" s="1"/>
  <c r="F77" i="29"/>
  <c r="G92" i="29"/>
  <c r="G95" i="29" s="1"/>
  <c r="G96" i="29" s="1"/>
  <c r="F55" i="29"/>
  <c r="F60" i="29" s="1"/>
  <c r="F64" i="29" s="1"/>
  <c r="E53" i="21"/>
  <c r="F36" i="69" l="1"/>
  <c r="E41" i="69"/>
  <c r="E43" i="69" s="1"/>
  <c r="E46" i="69" s="1"/>
  <c r="G12" i="29"/>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G25" i="68" l="1"/>
  <c r="G69" i="23"/>
  <c r="G109" i="29"/>
  <c r="G110" i="29" s="1"/>
  <c r="F47" i="21"/>
  <c r="F49" i="21" s="1"/>
  <c r="G112" i="29" l="1"/>
  <c r="G114" i="29" s="1"/>
  <c r="F95" i="22"/>
  <c r="F98" i="22" s="1"/>
  <c r="F99" i="22" s="1"/>
  <c r="F50" i="21" s="1"/>
  <c r="G29" i="68" s="1"/>
  <c r="G30" i="68" s="1"/>
  <c r="G31" i="68" s="1"/>
  <c r="G33" i="68" s="1"/>
  <c r="C70" i="23"/>
  <c r="F28" i="69"/>
  <c r="F31" i="69" s="1"/>
  <c r="H32" i="68" l="1"/>
  <c r="F8" i="69"/>
  <c r="F11" i="69" s="1"/>
  <c r="F20" i="69" s="1"/>
  <c r="F51" i="21"/>
  <c r="D70" i="23"/>
  <c r="F37" i="69" l="1"/>
  <c r="F39" i="69" s="1"/>
  <c r="H92" i="29"/>
  <c r="H95" i="29" s="1"/>
  <c r="G55" i="29"/>
  <c r="G60" i="29" s="1"/>
  <c r="G64" i="29" s="1"/>
  <c r="H6" i="29"/>
  <c r="H11" i="29" s="1"/>
  <c r="G77" i="29"/>
  <c r="F53" i="21"/>
  <c r="E70" i="23"/>
  <c r="G70" i="23" l="1"/>
  <c r="C71" i="23" s="1"/>
  <c r="H12" i="29"/>
  <c r="H96" i="29"/>
  <c r="D98" i="29"/>
  <c r="D32" i="62" s="1"/>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H109" i="29" l="1"/>
  <c r="H110" i="29" s="1"/>
  <c r="G47" i="21"/>
  <c r="G49" i="21" s="1"/>
  <c r="H25" i="68"/>
  <c r="G81" i="23"/>
  <c r="G95" i="22" l="1"/>
  <c r="G98" i="22" s="1"/>
  <c r="G99" i="22" s="1"/>
  <c r="G50" i="21" s="1"/>
  <c r="H29" i="68" s="1"/>
  <c r="H30" i="68" s="1"/>
  <c r="H31" i="68" s="1"/>
  <c r="H33" i="68" s="1"/>
  <c r="G28" i="69"/>
  <c r="G31" i="69" s="1"/>
  <c r="C82" i="23"/>
  <c r="H112" i="29"/>
  <c r="H114" i="29" s="1"/>
  <c r="G51" i="21" l="1"/>
  <c r="G37" i="69" s="1"/>
  <c r="G39" i="69" s="1"/>
  <c r="D82" i="23"/>
  <c r="G8" i="69"/>
  <c r="G11" i="69" s="1"/>
  <c r="G20" i="69" s="1"/>
  <c r="I32" i="68"/>
  <c r="H77" i="29" l="1"/>
  <c r="I6" i="29"/>
  <c r="I11" i="29" s="1"/>
  <c r="I12" i="29" s="1"/>
  <c r="I92" i="29"/>
  <c r="I95" i="29" s="1"/>
  <c r="H55" i="29"/>
  <c r="H60" i="29" s="1"/>
  <c r="H64" i="29" s="1"/>
  <c r="G53" i="21"/>
  <c r="H36" i="69"/>
  <c r="G41" i="69"/>
  <c r="G43" i="69" s="1"/>
  <c r="G46" i="69" s="1"/>
  <c r="E82" i="23"/>
  <c r="G82" i="23" l="1"/>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09" i="29" l="1"/>
  <c r="I110" i="29" s="1"/>
  <c r="H47" i="21"/>
  <c r="H49" i="21" s="1"/>
  <c r="E94" i="23"/>
  <c r="I25" i="68"/>
  <c r="G93" i="23"/>
  <c r="I112" i="29" l="1"/>
  <c r="I114" i="29" s="1"/>
  <c r="C116" i="29" s="1"/>
  <c r="D33" i="62" s="1"/>
  <c r="H95" i="22"/>
  <c r="H98" i="22" s="1"/>
  <c r="H99" i="22" s="1"/>
  <c r="H50" i="21" s="1"/>
  <c r="I29" i="68" s="1"/>
  <c r="I30" i="68" s="1"/>
  <c r="I31" i="68" s="1"/>
  <c r="I33" i="68" s="1"/>
  <c r="H8" i="69" s="1"/>
  <c r="H11" i="69" s="1"/>
  <c r="H20" i="69" s="1"/>
  <c r="H51" i="21" l="1"/>
  <c r="H37" i="69" l="1"/>
  <c r="H39" i="69" s="1"/>
  <c r="H41" i="69" s="1"/>
  <c r="H43" i="69" s="1"/>
  <c r="H46" i="69" s="1"/>
  <c r="J92" i="29"/>
  <c r="J95" i="29" s="1"/>
  <c r="I55" i="29"/>
  <c r="I60" i="29" s="1"/>
  <c r="I64" i="29" s="1"/>
  <c r="C66" i="29" s="1"/>
  <c r="C70" i="29" s="1"/>
  <c r="D31" i="62" s="1"/>
  <c r="J6" i="29"/>
  <c r="J11" i="29" s="1"/>
  <c r="I77" i="29"/>
  <c r="C79" i="29" s="1"/>
  <c r="C82" i="29" s="1"/>
  <c r="D29" i="62" s="1"/>
  <c r="H53" i="21"/>
  <c r="J12" i="29" l="1"/>
  <c r="C13" i="29" s="1"/>
  <c r="D30" i="62" l="1"/>
  <c r="D15" i="29"/>
  <c r="E15" i="29" l="1"/>
  <c r="D16" i="29"/>
  <c r="F15" i="29" l="1"/>
  <c r="E16" i="29"/>
  <c r="G15" i="29" l="1"/>
  <c r="F16" i="29"/>
  <c r="H15" i="29" l="1"/>
  <c r="G16" i="29"/>
  <c r="I15" i="29" l="1"/>
  <c r="H16" i="29"/>
  <c r="J15" i="29" l="1"/>
  <c r="J16" i="29" s="1"/>
  <c r="I16" i="29"/>
  <c r="D17" i="29" l="1"/>
  <c r="F20" i="29" s="1"/>
</calcChain>
</file>

<file path=xl/sharedStrings.xml><?xml version="1.0" encoding="utf-8"?>
<sst xmlns="http://schemas.openxmlformats.org/spreadsheetml/2006/main" count="1459" uniqueCount="731">
  <si>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</si>
  <si>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</si>
  <si>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</si>
  <si>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</si>
  <si>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</si>
  <si>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</si>
  <si>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</si>
  <si>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</si>
  <si>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</si>
  <si>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</si>
  <si>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</si>
  <si>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</si>
  <si>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</si>
  <si>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</si>
  <si>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</si>
  <si>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</si>
  <si>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</si>
  <si>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</si>
  <si>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</si>
  <si>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</si>
  <si>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</si>
  <si>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</si>
  <si>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</si>
  <si>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</si>
  <si>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</si>
  <si>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</si>
  <si>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</si>
  <si>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</si>
  <si>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</si>
  <si>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</si>
  <si>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</si>
  <si>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</si>
  <si>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</si>
  <si>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</si>
  <si>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</si>
  <si>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</si>
  <si>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</si>
  <si>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</si>
  <si>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</si>
  <si>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</si>
  <si>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</si>
  <si>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</si>
  <si>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</si>
  <si>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</si>
  <si>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</si>
  <si>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</si>
  <si>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</si>
  <si>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</si>
  <si>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</si>
  <si>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</si>
  <si>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</si>
  <si>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</si>
  <si>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</si>
  <si>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</si>
  <si>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</si>
  <si>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</si>
  <si>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</si>
  <si>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</si>
  <si>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</si>
  <si>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</si>
  <si>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</si>
  <si>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</si>
  <si>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</si>
  <si>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</si>
  <si>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</si>
  <si>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</si>
  <si>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</si>
  <si>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</si>
  <si>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</si>
  <si>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</si>
  <si>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</si>
  <si>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</si>
  <si>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</si>
  <si>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</si>
  <si>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</si>
  <si>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</si>
  <si>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</si>
  <si>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</si>
  <si>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</si>
  <si>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</si>
  <si>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</si>
  <si>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</si>
  <si>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</si>
  <si>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</si>
  <si>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</si>
  <si>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</si>
  <si>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</si>
  <si>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</si>
  <si>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</si>
  <si>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</si>
  <si>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</si>
  <si>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</si>
  <si>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</si>
  <si>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</si>
  <si>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</si>
  <si>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</si>
  <si>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</si>
  <si>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</si>
  <si>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</si>
  <si>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</si>
  <si>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</si>
  <si>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</si>
  <si>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</si>
  <si>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</si>
  <si>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</si>
  <si>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</si>
  <si>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</si>
  <si>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</si>
  <si>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</si>
  <si>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</si>
  <si>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</si>
  <si>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</si>
  <si>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</si>
  <si>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</si>
  <si>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</si>
  <si>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</si>
  <si>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</si>
  <si>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</si>
  <si>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</si>
  <si>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</si>
  <si>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</si>
  <si>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</si>
  <si>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</si>
  <si>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</si>
  <si>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</si>
  <si>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</si>
  <si>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</si>
  <si>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</si>
  <si>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</si>
  <si>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</si>
  <si>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</si>
  <si>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</si>
  <si>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</si>
  <si>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</si>
  <si>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</si>
  <si>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</si>
  <si>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</si>
  <si>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</si>
  <si>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</si>
  <si>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</si>
  <si>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</si>
  <si>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</si>
  <si>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</si>
  <si>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</si>
  <si>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</si>
  <si>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</si>
  <si>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</si>
  <si>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</si>
  <si>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</si>
  <si>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</si>
  <si>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</si>
  <si>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</si>
  <si>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</si>
  <si>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</si>
  <si>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</si>
  <si>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</si>
  <si>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</si>
  <si>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</si>
  <si>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</si>
  <si>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</si>
  <si>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</si>
  <si>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</si>
  <si>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</si>
  <si>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</si>
  <si>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</si>
  <si>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</si>
  <si>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</si>
  <si>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</si>
  <si>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</si>
  <si>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</si>
  <si>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</si>
  <si>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</si>
  <si>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</si>
  <si>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</si>
  <si>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</si>
  <si>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</si>
  <si>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</si>
  <si>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</si>
  <si>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</si>
  <si>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</si>
  <si>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</si>
  <si>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</si>
  <si>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</si>
  <si>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</si>
  <si>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</si>
  <si>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</si>
  <si>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</si>
  <si>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</si>
  <si>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</si>
  <si>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</si>
  <si>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</si>
  <si>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</si>
  <si>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</si>
  <si>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</si>
  <si>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</si>
  <si>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</si>
  <si>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</si>
  <si>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</si>
  <si>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</si>
  <si>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</si>
  <si>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</si>
  <si>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</si>
  <si>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</si>
  <si>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</si>
  <si>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</si>
  <si>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</si>
  <si>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</si>
  <si>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</si>
  <si>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</si>
  <si>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</si>
  <si>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</si>
  <si>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</si>
  <si>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</si>
  <si>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</si>
  <si>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</si>
  <si>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</si>
  <si>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</si>
  <si>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</si>
  <si>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</si>
  <si>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</si>
  <si>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</si>
  <si>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</si>
  <si>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</si>
  <si>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</si>
  <si>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</si>
  <si>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</si>
  <si>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</si>
  <si>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</si>
  <si>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</si>
  <si>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</si>
  <si>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</si>
  <si>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</si>
  <si>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</si>
  <si>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</si>
  <si>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</si>
  <si>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</si>
  <si>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</si>
  <si>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</si>
  <si>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</si>
  <si>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</si>
  <si>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</si>
  <si>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</si>
  <si>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</si>
  <si>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</si>
  <si>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</si>
  <si>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</si>
  <si>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</si>
  <si>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</si>
  <si>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</si>
  <si>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</si>
  <si>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</si>
  <si>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</si>
  <si>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</si>
  <si>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</si>
  <si>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</si>
  <si>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</si>
  <si>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</si>
  <si>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</si>
  <si>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</si>
  <si>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</si>
  <si>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</si>
  <si>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</si>
  <si>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</si>
  <si>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</si>
  <si>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</si>
  <si>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</si>
  <si>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</si>
  <si>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</si>
  <si>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</si>
  <si>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</si>
  <si>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</si>
  <si>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</si>
  <si>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</si>
  <si>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</si>
  <si>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</si>
  <si>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</si>
  <si>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</si>
  <si>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</si>
  <si>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</si>
  <si>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</si>
  <si>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</si>
  <si>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</si>
  <si>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</si>
  <si>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</si>
  <si>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</si>
  <si>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</si>
  <si>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</si>
  <si>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</si>
  <si>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</si>
  <si>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</si>
  <si>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</si>
  <si>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</si>
  <si>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</si>
  <si>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</si>
  <si>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</si>
  <si>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</si>
  <si>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</si>
  <si>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</si>
  <si>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</si>
  <si>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</si>
  <si>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</si>
  <si>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</si>
  <si>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</si>
  <si>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</si>
  <si>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</si>
  <si>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</si>
  <si>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</si>
  <si>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</si>
  <si>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</si>
  <si>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</si>
  <si>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</si>
  <si>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</si>
  <si>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</si>
  <si>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</si>
  <si>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</si>
  <si>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</si>
  <si>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</si>
  <si>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</si>
  <si>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</si>
  <si>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</si>
  <si>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</si>
  <si>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</si>
  <si>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</si>
  <si>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</si>
  <si>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</si>
  <si>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</si>
  <si>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</si>
  <si>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</si>
  <si>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</si>
  <si>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</si>
  <si>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</si>
  <si>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</si>
  <si>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</si>
  <si>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</si>
  <si>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</si>
  <si>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</si>
  <si>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</si>
  <si>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</si>
  <si>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</si>
  <si>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</si>
  <si>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</si>
  <si>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</si>
  <si>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</si>
  <si>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</si>
  <si>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</si>
  <si>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</si>
  <si>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</si>
  <si>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</si>
  <si>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</si>
  <si>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</si>
  <si>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</si>
  <si>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</si>
  <si>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</si>
  <si>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</si>
  <si>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</si>
  <si>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</si>
  <si>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</si>
  <si>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</si>
  <si>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</si>
  <si>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</si>
  <si>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</si>
  <si>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</si>
  <si>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</si>
  <si>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</si>
  <si>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</si>
  <si>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</si>
  <si>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</si>
  <si>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</si>
  <si>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</si>
  <si>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</si>
  <si>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</si>
  <si>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</si>
  <si>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</si>
  <si>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</si>
  <si>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</si>
  <si>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</si>
  <si>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</si>
  <si>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</si>
  <si>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</si>
  <si>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</si>
  <si>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</si>
  <si>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</si>
  <si>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</si>
  <si>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</si>
  <si>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</si>
  <si>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</si>
  <si>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</si>
  <si>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</si>
  <si>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</si>
  <si>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</si>
  <si>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</si>
  <si>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</si>
  <si>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</si>
  <si>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</si>
  <si>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</si>
  <si>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</si>
  <si>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</si>
  <si>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</si>
  <si>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</si>
  <si>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</si>
  <si>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</si>
  <si>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</si>
  <si>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</si>
  <si>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</si>
  <si>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</si>
  <si>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</si>
  <si>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</si>
  <si>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</si>
  <si>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</si>
  <si>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</si>
  <si>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</si>
  <si>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</si>
  <si>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</si>
  <si>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</si>
  <si>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</si>
  <si>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</si>
  <si>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</si>
  <si>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</si>
  <si>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</si>
  <si>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</si>
  <si>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</si>
  <si>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</si>
  <si>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</si>
  <si>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</si>
  <si>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</si>
  <si>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</si>
  <si>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</si>
  <si>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</si>
  <si>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</si>
  <si>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</si>
  <si>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</si>
  <si>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</si>
  <si>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</si>
  <si>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</si>
  <si>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</si>
  <si>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</si>
  <si>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</si>
  <si>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</si>
  <si>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</si>
  <si>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</si>
  <si>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</si>
  <si>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</si>
  <si>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</si>
  <si>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</si>
  <si>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</si>
  <si>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</si>
  <si>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</si>
  <si>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</si>
  <si>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</si>
  <si>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</si>
  <si>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</si>
  <si>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</si>
  <si>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</si>
  <si>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</si>
  <si>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</si>
  <si>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</si>
  <si>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</si>
  <si>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</si>
  <si>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</si>
  <si>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</si>
  <si>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</si>
  <si>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</si>
  <si>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</si>
  <si>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</si>
  <si>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</si>
  <si>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</si>
  <si>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</si>
  <si>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</si>
  <si>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</si>
  <si>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</si>
  <si>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</si>
  <si>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</si>
  <si>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</si>
  <si>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</si>
  <si>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</si>
  <si>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</si>
  <si>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</si>
  <si>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</si>
  <si>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</si>
  <si>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</si>
  <si>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</si>
  <si>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</si>
  <si>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</si>
  <si>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</si>
  <si>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</si>
  <si>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</si>
  <si>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</si>
  <si>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</si>
  <si>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</si>
  <si>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</si>
  <si>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</si>
  <si>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</si>
  <si>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</si>
  <si>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</si>
  <si>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</si>
  <si>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</si>
  <si>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</si>
  <si>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</si>
  <si>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</si>
  <si>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</si>
  <si>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</si>
  <si>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</si>
  <si>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</si>
  <si>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</si>
  <si>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</si>
  <si>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</si>
  <si>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</si>
  <si>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</si>
  <si>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</si>
  <si>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</si>
  <si>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</si>
  <si>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</si>
  <si>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</si>
  <si>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</si>
  <si>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</si>
  <si>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</si>
  <si>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</si>
  <si>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</si>
  <si>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</si>
  <si>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</si>
  <si>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</si>
  <si>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</si>
  <si>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</si>
  <si>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</si>
  <si>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</si>
  <si>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</si>
  <si>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</si>
  <si>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</si>
  <si>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</si>
  <si>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</si>
  <si>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</si>
  <si>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</si>
  <si>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</si>
  <si>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</si>
  <si>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</si>
  <si>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</si>
  <si>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</si>
  <si>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</si>
  <si>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</si>
  <si>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</si>
  <si>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</si>
  <si>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</si>
  <si>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</si>
  <si>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</si>
  <si>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</si>
  <si>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</si>
  <si>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</si>
  <si>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</si>
  <si>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</si>
  <si>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</si>
  <si>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</si>
  <si>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</si>
  <si>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</si>
  <si>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</si>
  <si>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</si>
  <si>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</si>
  <si>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</si>
  <si>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</si>
  <si>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</si>
  <si>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</si>
  <si>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</si>
  <si>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</si>
  <si>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</si>
  <si>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</si>
  <si>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</si>
  <si>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</si>
  <si>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</si>
  <si>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</si>
  <si>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</si>
  <si>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</si>
  <si>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</si>
  <si>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</si>
  <si>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</si>
  <si>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</si>
  <si>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</si>
  <si>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</si>
  <si>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</si>
  <si>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</si>
  <si>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</si>
  <si>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</si>
  <si>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</si>
  <si>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</si>
  <si>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</si>
  <si>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</si>
  <si>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</si>
  <si>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</si>
  <si>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</si>
  <si>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</si>
  <si>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</si>
  <si>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</si>
  <si>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</si>
  <si>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</si>
  <si>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</si>
  <si>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</si>
  <si>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</si>
  <si>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</si>
  <si>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</si>
  <si>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</si>
  <si>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</si>
  <si>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</si>
  <si>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</si>
  <si>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</si>
  <si>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</si>
  <si>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</si>
  <si>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</si>
  <si>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</si>
  <si>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</si>
  <si>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</si>
  <si>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</si>
  <si>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</si>
  <si>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</si>
  <si>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</si>
  <si>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</si>
  <si>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</si>
  <si>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</si>
  <si>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</si>
  <si>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</si>
  <si>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</si>
  <si>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</si>
  <si>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</si>
  <si>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</si>
  <si>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</si>
  <si>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</si>
  <si>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</si>
  <si>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</si>
  <si>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</si>
  <si>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</si>
  <si>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</si>
  <si>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</si>
  <si>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</si>
  <si>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</si>
  <si>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</si>
  <si>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</si>
  <si>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</si>
  <si>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</si>
  <si>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</si>
  <si>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</si>
  <si>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</si>
  <si>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</si>
  <si>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</si>
  <si>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</si>
  <si>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</si>
  <si>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</si>
  <si>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</si>
  <si>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</si>
  <si>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</si>
  <si>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</si>
  <si>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</si>
  <si>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</si>
  <si>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</si>
  <si>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</si>
  <si>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</si>
  <si>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</si>
  <si>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</si>
  <si>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</si>
  <si>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</si>
  <si>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</si>
  <si>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</si>
  <si>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</si>
  <si>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</si>
  <si>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</si>
  <si>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</si>
  <si>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</si>
  <si>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</si>
  <si>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</si>
  <si>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</si>
  <si>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</si>
  <si>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</si>
  <si>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</si>
  <si>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</si>
  <si>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</si>
  <si>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</si>
  <si>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</si>
  <si>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</si>
  <si>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</si>
  <si>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</si>
  <si>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</si>
  <si>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</si>
  <si>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</si>
  <si>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</si>
  <si>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</si>
  <si>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</si>
  <si>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</si>
  <si>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</si>
  <si>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</si>
  <si>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</si>
  <si>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</si>
  <si>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</si>
  <si>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</si>
  <si>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</si>
  <si>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</si>
  <si>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</si>
  <si>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</si>
  <si>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</si>
  <si>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</si>
  <si>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</si>
  <si>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</si>
  <si>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</si>
  <si>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</si>
  <si>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</si>
  <si>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</si>
  <si>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</si>
  <si>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</si>
  <si>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</si>
  <si>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</si>
  <si>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</si>
  <si>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COMPUTER AND PERIPHERALS</t>
  </si>
  <si>
    <t>PRELIMINARY EXP</t>
  </si>
  <si>
    <t>FURNITURE (As per list)</t>
  </si>
  <si>
    <t>Industrial Shed</t>
  </si>
  <si>
    <t>Kubota tractor tractror 45 hp</t>
  </si>
  <si>
    <t>Trolley</t>
  </si>
  <si>
    <t>Plough limkan</t>
  </si>
  <si>
    <t>Hadmba tokari</t>
  </si>
  <si>
    <t>Rotavetor</t>
  </si>
  <si>
    <t>Chaff cutter</t>
  </si>
  <si>
    <t>BBf Perni Yantra</t>
  </si>
  <si>
    <t>Power tiller 13 hp</t>
  </si>
  <si>
    <t>Power weeder 350 D</t>
  </si>
  <si>
    <t>Brush Cutter</t>
  </si>
  <si>
    <t>Reaper</t>
  </si>
  <si>
    <t>HTP Sprayer</t>
  </si>
  <si>
    <t>Intercultivetor</t>
  </si>
  <si>
    <t>Solar Electricity Panel</t>
  </si>
  <si>
    <t>Furniture</t>
  </si>
  <si>
    <t>Other Equipments (List Attached)</t>
  </si>
  <si>
    <t>Electric Equipment (List Attached)</t>
  </si>
  <si>
    <t>Jowar Processing Machine</t>
  </si>
  <si>
    <t>BAKERY MANGAL METAL</t>
  </si>
  <si>
    <t>Other</t>
  </si>
  <si>
    <t xml:space="preserve">Transport Van TATA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</si>
</sst>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 numFmtId="178" formatCode="_-* #,##0_-;\-* #,##0_-;_-* &quot;-&quot;??_-;_-@"/>
  </numFmts>
  <fonts count="7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color rgb="FF000000"/>
      <name val="Times New Roman"/>
    </font>
    <font>
      <sz val="11"/>
      <color rgb="FF000000"/>
      <name val="Garamond"/>
    </font>
    <font>
      <b/>
      <sz val="11"/>
      <color rgb="FFFF0000"/>
      <name val="Times New Roman"/>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rgb="FFFFFF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164" fontId="18" fillId="0" borderId="0" applyFont="0" applyFill="0" applyBorder="0" applyAlignment="0" applyProtection="0"/>
  </cellStyleXfs>
  <cellXfs count="492">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4"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horizontal="center"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17" fontId="0" fillId="0" borderId="0" xfId="0" applyNumberFormat="1"/>
    <xf numFmtId="0" fontId="42" fillId="6" borderId="1" xfId="0" applyFont="1" applyFill="1" applyBorder="1" applyAlignment="1">
      <alignment horizontal="center" vertical="center" wrapText="1"/>
    </xf>
    <xf numFmtId="0" fontId="68" fillId="12" borderId="23" xfId="0" applyFont="1" applyFill="1" applyBorder="1" applyAlignment="1">
      <alignment vertical="center" wrapText="1"/>
    </xf>
    <xf numFmtId="0" fontId="68" fillId="12" borderId="23" xfId="0" applyFont="1" applyFill="1" applyBorder="1" applyAlignment="1">
      <alignment horizontal="center" vertical="center" wrapText="1"/>
    </xf>
    <xf numFmtId="170" fontId="68" fillId="12" borderId="23" xfId="0" applyNumberFormat="1" applyFont="1" applyFill="1" applyBorder="1" applyAlignment="1">
      <alignment horizontal="right" vertical="center" wrapText="1"/>
    </xf>
    <xf numFmtId="0" fontId="69" fillId="12" borderId="23" xfId="0" applyFont="1" applyFill="1" applyBorder="1" applyAlignment="1">
      <alignment vertical="center" wrapText="1"/>
    </xf>
    <xf numFmtId="0" fontId="69" fillId="12" borderId="23" xfId="0" applyFont="1" applyFill="1" applyBorder="1" applyAlignment="1">
      <alignment horizontal="center" vertical="center" wrapText="1"/>
    </xf>
    <xf numFmtId="178" fontId="69" fillId="12" borderId="23" xfId="0" applyNumberFormat="1" applyFont="1" applyFill="1" applyBorder="1" applyAlignment="1">
      <alignment horizontal="center" vertical="center" wrapText="1"/>
    </xf>
    <xf numFmtId="0" fontId="70" fillId="6" borderId="1" xfId="0" applyFont="1" applyFill="1" applyBorder="1" applyAlignment="1">
      <alignment vertical="center" wrapText="1"/>
    </xf>
    <xf numFmtId="0" fontId="0" fillId="0" borderId="0" xfId="0" applyAlignment="1">
      <alignment horizontal="center"/>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13"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zoomScale="60" workbookViewId="0">
      <selection activeCell="A4" sqref="A4:E4"/>
    </sheetView>
  </sheetViews>
  <sheetFormatPr defaultColWidth="9.140625" defaultRowHeight="15"/>
  <cols>
    <col min="1" max="1" width="12.85546875" style="373" customWidth="1"/>
    <col min="2" max="2" width="56" style="373" customWidth="1"/>
    <col min="3" max="3" width="26.28515625" style="373" customWidth="1"/>
    <col min="4" max="4" width="20.7109375" style="373" customWidth="1"/>
    <col min="5" max="5" width="29.42578125" style="373" customWidth="1"/>
    <col min="6" max="16384" width="9.140625" style="373"/>
  </cols>
  <sheetData>
    <row r="1" spans="1:5" ht="26.25" customHeight="1">
      <c r="A1" s="400" t="s">
        <v>664</v>
      </c>
      <c r="B1" s="400"/>
      <c r="C1" s="400"/>
      <c r="D1" s="400"/>
      <c r="E1" s="400"/>
    </row>
    <row r="2" spans="1:5" ht="26.25" customHeight="1">
      <c r="A2" s="401" t="s">
        <v>660</v>
      </c>
      <c r="B2" s="401"/>
      <c r="C2" s="401"/>
      <c r="D2" s="401"/>
      <c r="E2" s="401"/>
    </row>
    <row r="3" spans="1:5" ht="23.25" customHeight="1">
      <c r="A3" s="402" t="s">
        <v>631</v>
      </c>
      <c r="B3" s="402"/>
      <c r="C3" s="402"/>
      <c r="D3" s="402"/>
      <c r="E3" s="402"/>
    </row>
    <row r="4" spans="1:5" ht="240.75" customHeight="1">
      <c r="A4" s="403" t="s">
        <v>665</v>
      </c>
      <c r="B4" s="403"/>
      <c r="C4" s="403"/>
      <c r="D4" s="403"/>
      <c r="E4" s="403"/>
    </row>
    <row r="5" spans="1:5" ht="23.25" customHeight="1">
      <c r="A5" s="402" t="s">
        <v>632</v>
      </c>
      <c r="B5" s="402"/>
      <c r="C5" s="402"/>
      <c r="D5" s="402"/>
      <c r="E5" s="402"/>
    </row>
    <row r="6" spans="1:5" ht="108" customHeight="1">
      <c r="A6" s="410" t="s">
        <v>703</v>
      </c>
      <c r="B6" s="411"/>
      <c r="C6" s="411"/>
      <c r="D6" s="411"/>
      <c r="E6" s="412"/>
    </row>
    <row r="7" spans="1:5" ht="23.25" customHeight="1">
      <c r="A7" s="413" t="s">
        <v>666</v>
      </c>
      <c r="B7" s="413"/>
      <c r="C7" s="413"/>
      <c r="D7" s="413"/>
      <c r="E7" s="413"/>
    </row>
    <row r="8" spans="1:5" ht="125.25" customHeight="1">
      <c r="A8" s="403" t="s">
        <v>702</v>
      </c>
      <c r="B8" s="403"/>
      <c r="C8" s="403"/>
      <c r="D8" s="403"/>
      <c r="E8" s="403"/>
    </row>
    <row r="9" spans="1:5" ht="23.25">
      <c r="A9" s="402" t="s">
        <v>657</v>
      </c>
      <c r="B9" s="402"/>
      <c r="C9" s="402"/>
      <c r="D9" s="402"/>
      <c r="E9" s="402"/>
    </row>
    <row r="10" spans="1:5">
      <c r="A10" s="373" t="s">
        <v>633</v>
      </c>
      <c r="B10" s="373" t="s">
        <v>152</v>
      </c>
    </row>
    <row r="11" spans="1:5" ht="20.25" customHeight="1">
      <c r="A11" s="377"/>
      <c r="B11" s="414" t="s">
        <v>416</v>
      </c>
      <c r="C11" s="415"/>
      <c r="D11" s="415"/>
      <c r="E11" s="416"/>
    </row>
    <row r="12" spans="1:5">
      <c r="A12" s="378"/>
      <c r="B12" s="404" t="s">
        <v>417</v>
      </c>
      <c r="C12" s="404"/>
      <c r="D12" s="404"/>
      <c r="E12" s="404"/>
    </row>
    <row r="13" spans="1:5" s="382" customFormat="1">
      <c r="A13" s="405"/>
      <c r="B13" s="405"/>
      <c r="C13" s="405"/>
      <c r="D13" s="405"/>
      <c r="E13" s="406"/>
    </row>
    <row r="14" spans="1:5" ht="23.25">
      <c r="A14" s="402" t="s">
        <v>658</v>
      </c>
      <c r="B14" s="402"/>
      <c r="C14" s="402"/>
      <c r="D14" s="402"/>
      <c r="E14" s="402"/>
    </row>
    <row r="15" spans="1:5">
      <c r="A15" s="374" t="s">
        <v>629</v>
      </c>
      <c r="B15" s="374" t="s">
        <v>667</v>
      </c>
      <c r="C15" s="374" t="s">
        <v>463</v>
      </c>
      <c r="D15" s="374" t="s">
        <v>637</v>
      </c>
      <c r="E15" s="374" t="s">
        <v>630</v>
      </c>
    </row>
    <row r="16" spans="1:5">
      <c r="A16" s="383" t="s">
        <v>175</v>
      </c>
      <c r="B16" s="383" t="s">
        <v>668</v>
      </c>
      <c r="C16" s="383"/>
      <c r="D16" s="383"/>
      <c r="E16" s="383"/>
    </row>
    <row r="17" spans="1:5" ht="60">
      <c r="A17" s="384" t="s">
        <v>647</v>
      </c>
      <c r="B17" s="375" t="s">
        <v>654</v>
      </c>
      <c r="C17" s="375" t="s">
        <v>699</v>
      </c>
      <c r="D17" s="375" t="s">
        <v>669</v>
      </c>
      <c r="E17" s="375"/>
    </row>
    <row r="18" spans="1:5" ht="90">
      <c r="A18" s="384" t="s">
        <v>648</v>
      </c>
      <c r="B18" s="375" t="s">
        <v>634</v>
      </c>
      <c r="C18" s="375" t="s">
        <v>700</v>
      </c>
      <c r="D18" s="375" t="s">
        <v>670</v>
      </c>
      <c r="E18" s="375"/>
    </row>
    <row r="19" spans="1:5" ht="26.25" customHeight="1">
      <c r="A19" s="384" t="s">
        <v>649</v>
      </c>
      <c r="B19" s="376" t="s">
        <v>661</v>
      </c>
      <c r="C19" s="375" t="s">
        <v>671</v>
      </c>
      <c r="D19" s="375" t="s">
        <v>672</v>
      </c>
      <c r="E19" s="375" t="s">
        <v>659</v>
      </c>
    </row>
    <row r="20" spans="1:5" ht="30">
      <c r="A20" s="384" t="s">
        <v>650</v>
      </c>
      <c r="B20" s="375" t="s">
        <v>701</v>
      </c>
      <c r="C20" s="375"/>
      <c r="D20" s="375"/>
      <c r="E20" s="375"/>
    </row>
    <row r="21" spans="1:5">
      <c r="A21" s="375">
        <v>4.0999999999999996</v>
      </c>
      <c r="B21" s="375" t="s">
        <v>641</v>
      </c>
      <c r="C21" s="407" t="s">
        <v>673</v>
      </c>
      <c r="D21" s="375" t="s">
        <v>674</v>
      </c>
      <c r="E21" s="375"/>
    </row>
    <row r="22" spans="1:5" ht="30">
      <c r="A22" s="375">
        <v>4.2</v>
      </c>
      <c r="B22" s="375" t="s">
        <v>645</v>
      </c>
      <c r="C22" s="408"/>
      <c r="D22" s="375" t="s">
        <v>675</v>
      </c>
      <c r="E22" s="375"/>
    </row>
    <row r="23" spans="1:5">
      <c r="A23" s="375">
        <v>4.3</v>
      </c>
      <c r="B23" s="375" t="s">
        <v>642</v>
      </c>
      <c r="C23" s="408"/>
      <c r="D23" s="375" t="s">
        <v>676</v>
      </c>
      <c r="E23" s="375"/>
    </row>
    <row r="24" spans="1:5">
      <c r="A24" s="375">
        <v>4.4000000000000004</v>
      </c>
      <c r="B24" s="375" t="s">
        <v>643</v>
      </c>
      <c r="C24" s="408"/>
      <c r="D24" s="375" t="s">
        <v>677</v>
      </c>
      <c r="E24" s="375"/>
    </row>
    <row r="25" spans="1:5">
      <c r="A25" s="375">
        <v>4.5</v>
      </c>
      <c r="B25" s="375" t="s">
        <v>644</v>
      </c>
      <c r="C25" s="408"/>
      <c r="D25" s="375" t="s">
        <v>678</v>
      </c>
      <c r="E25" s="375"/>
    </row>
    <row r="26" spans="1:5">
      <c r="A26" s="375">
        <v>4.5999999999999996</v>
      </c>
      <c r="B26" s="375" t="s">
        <v>646</v>
      </c>
      <c r="C26" s="409"/>
      <c r="D26" s="375" t="s">
        <v>679</v>
      </c>
      <c r="E26" s="375"/>
    </row>
    <row r="27" spans="1:5" ht="45">
      <c r="A27" s="384" t="s">
        <v>651</v>
      </c>
      <c r="B27" s="375" t="s">
        <v>635</v>
      </c>
      <c r="C27" s="375" t="s">
        <v>680</v>
      </c>
      <c r="D27" s="375" t="s">
        <v>705</v>
      </c>
      <c r="E27" s="375"/>
    </row>
    <row r="28" spans="1:5" ht="60">
      <c r="A28" s="384" t="s">
        <v>652</v>
      </c>
      <c r="B28" s="375" t="s">
        <v>681</v>
      </c>
      <c r="C28" s="375" t="s">
        <v>682</v>
      </c>
      <c r="D28" s="375" t="s">
        <v>683</v>
      </c>
      <c r="E28" s="375"/>
    </row>
    <row r="29" spans="1:5" ht="45">
      <c r="A29" s="384" t="s">
        <v>653</v>
      </c>
      <c r="B29" s="375" t="s">
        <v>636</v>
      </c>
      <c r="C29" s="375" t="s">
        <v>684</v>
      </c>
      <c r="D29" s="375" t="s">
        <v>685</v>
      </c>
      <c r="E29" s="375"/>
    </row>
    <row r="30" spans="1:5">
      <c r="A30" s="383" t="s">
        <v>176</v>
      </c>
      <c r="B30" s="385" t="s">
        <v>686</v>
      </c>
      <c r="C30" s="383"/>
      <c r="D30" s="383"/>
      <c r="E30" s="383"/>
    </row>
    <row r="31" spans="1:5" ht="26.25" customHeight="1">
      <c r="A31" s="386" t="s">
        <v>687</v>
      </c>
      <c r="B31" s="375" t="s">
        <v>638</v>
      </c>
      <c r="C31" s="375"/>
      <c r="D31" s="375" t="s">
        <v>688</v>
      </c>
      <c r="E31" s="375" t="s">
        <v>659</v>
      </c>
    </row>
    <row r="32" spans="1:5">
      <c r="A32" s="386" t="s">
        <v>689</v>
      </c>
      <c r="B32" s="375" t="s">
        <v>639</v>
      </c>
      <c r="C32" s="375"/>
      <c r="D32" s="375" t="s">
        <v>690</v>
      </c>
      <c r="E32" s="375" t="s">
        <v>659</v>
      </c>
    </row>
    <row r="33" spans="1:5">
      <c r="A33" s="386" t="s">
        <v>691</v>
      </c>
      <c r="B33" s="375" t="s">
        <v>640</v>
      </c>
      <c r="C33" s="375"/>
      <c r="D33" s="375" t="s">
        <v>692</v>
      </c>
      <c r="E33" s="375" t="s">
        <v>659</v>
      </c>
    </row>
    <row r="34" spans="1:5" ht="35.25" customHeight="1">
      <c r="A34" s="386" t="s">
        <v>693</v>
      </c>
      <c r="B34" s="375" t="s">
        <v>655</v>
      </c>
      <c r="C34" s="375"/>
      <c r="D34" s="375" t="s">
        <v>694</v>
      </c>
      <c r="E34" s="375" t="s">
        <v>659</v>
      </c>
    </row>
    <row r="35" spans="1:5" ht="35.25" customHeight="1">
      <c r="A35" s="386" t="s">
        <v>695</v>
      </c>
      <c r="B35" s="375" t="s">
        <v>696</v>
      </c>
      <c r="C35" s="375"/>
      <c r="D35" s="375" t="s">
        <v>704</v>
      </c>
      <c r="E35" s="375" t="s">
        <v>659</v>
      </c>
    </row>
    <row r="36" spans="1:5">
      <c r="A36" s="384" t="s">
        <v>697</v>
      </c>
      <c r="B36" s="375" t="s">
        <v>698</v>
      </c>
      <c r="C36" s="375"/>
      <c r="D36" s="375"/>
      <c r="E36" s="375"/>
    </row>
    <row r="37" spans="1:5" ht="21">
      <c r="A37" s="399"/>
      <c r="B37" s="399"/>
      <c r="C37" s="399"/>
      <c r="D37" s="399"/>
      <c r="E37" s="399"/>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60"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S181"/>
  <sheetViews>
    <sheetView view="pageBreakPreview" topLeftCell="B1" zoomScale="80" zoomScaleSheetLayoutView="80" workbookViewId="0">
      <selection activeCell="J22" sqref="J22"/>
    </sheetView>
  </sheetViews>
  <sheetFormatPr defaultRowHeight="15"/>
  <cols>
    <col min="2" max="2" width="32.7109375" bestFit="1" customWidth="1"/>
    <col min="3" max="3" width="18.7109375" bestFit="1" customWidth="1"/>
    <col min="4"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2" spans="2:19" ht="18.75">
      <c r="B2" s="458" t="s">
        <v>580</v>
      </c>
      <c r="C2" s="458"/>
      <c r="D2" s="458"/>
      <c r="E2" s="458"/>
      <c r="F2" s="458"/>
      <c r="G2" s="458"/>
      <c r="H2" s="458"/>
      <c r="I2" s="458"/>
      <c r="J2" s="458"/>
    </row>
    <row r="3" spans="2:19" ht="16.5">
      <c r="B3" s="8"/>
      <c r="C3" s="8"/>
      <c r="D3" s="8"/>
      <c r="E3" s="8"/>
      <c r="F3" s="8"/>
      <c r="G3" s="8"/>
      <c r="H3" s="8"/>
      <c r="I3" s="8"/>
      <c r="J3" s="8"/>
    </row>
    <row r="4" spans="2:19" ht="15.75">
      <c r="B4" s="86" t="s">
        <v>29</v>
      </c>
      <c r="C4" s="87" t="s">
        <v>343</v>
      </c>
      <c r="D4" s="87" t="s">
        <v>2</v>
      </c>
      <c r="E4" s="87" t="s">
        <v>3</v>
      </c>
      <c r="F4" s="87" t="s">
        <v>4</v>
      </c>
      <c r="G4" s="87" t="s">
        <v>5</v>
      </c>
      <c r="H4" s="87" t="s">
        <v>6</v>
      </c>
      <c r="I4" s="87" t="s">
        <v>171</v>
      </c>
      <c r="J4" s="87" t="s">
        <v>170</v>
      </c>
      <c r="L4" s="379"/>
    </row>
    <row r="5" spans="2:19">
      <c r="B5" s="88"/>
      <c r="C5" s="88"/>
      <c r="D5" s="88"/>
      <c r="E5" s="88"/>
      <c r="F5" s="88"/>
      <c r="G5" s="88"/>
      <c r="H5" s="88"/>
      <c r="I5" s="88"/>
      <c r="J5" s="88"/>
    </row>
    <row r="6" spans="2:19">
      <c r="B6" s="88" t="s">
        <v>30</v>
      </c>
      <c r="C6" s="88"/>
      <c r="D6" s="89">
        <f>'6.Cons Profit &amp; Loss'!B51</f>
        <v>1421464.3800842559</v>
      </c>
      <c r="E6" s="89">
        <f>'6.Cons Profit &amp; Loss'!C51</f>
        <v>1935055.681404152</v>
      </c>
      <c r="F6" s="89">
        <f>'6.Cons Profit &amp; Loss'!D51</f>
        <v>2441493.0281662182</v>
      </c>
      <c r="G6" s="89">
        <f>'6.Cons Profit &amp; Loss'!E51</f>
        <v>3017775.7386281532</v>
      </c>
      <c r="H6" s="89">
        <f>'6.Cons Profit &amp; Loss'!F51</f>
        <v>3660538.260478464</v>
      </c>
      <c r="I6" s="89">
        <f>'6.Cons Profit &amp; Loss'!G51</f>
        <v>4382108.975272811</v>
      </c>
      <c r="J6" s="89">
        <f>'6.Cons Profit &amp; Loss'!H51</f>
        <v>5172238.9322344614</v>
      </c>
    </row>
    <row r="7" spans="2:19">
      <c r="B7" s="88"/>
      <c r="C7" s="88"/>
      <c r="D7" s="89"/>
      <c r="E7" s="89"/>
      <c r="F7" s="89"/>
      <c r="G7" s="89"/>
      <c r="H7" s="89"/>
      <c r="I7" s="89"/>
      <c r="J7" s="89"/>
    </row>
    <row r="8" spans="2:19">
      <c r="B8" s="90" t="s">
        <v>31</v>
      </c>
      <c r="C8" s="90"/>
      <c r="D8" s="89">
        <f>'6.Cons Profit &amp; Loss'!B42</f>
        <v>848839.85789999994</v>
      </c>
      <c r="E8" s="89">
        <f>'6.Cons Profit &amp; Loss'!C42</f>
        <v>848839.85789999994</v>
      </c>
      <c r="F8" s="89">
        <f>'6.Cons Profit &amp; Loss'!D42</f>
        <v>848839.85789999994</v>
      </c>
      <c r="G8" s="89">
        <f>'6.Cons Profit &amp; Loss'!E42</f>
        <v>848839.85789999994</v>
      </c>
      <c r="H8" s="89">
        <f>'6.Cons Profit &amp; Loss'!F42</f>
        <v>848839.85789999994</v>
      </c>
      <c r="I8" s="89">
        <f>'6.Cons Profit &amp; Loss'!G42</f>
        <v>848839.85789999994</v>
      </c>
      <c r="J8" s="89">
        <f>'6.Cons Profit &amp; Loss'!H42</f>
        <v>848839.85789999994</v>
      </c>
    </row>
    <row r="9" spans="2:19">
      <c r="B9" s="88" t="s">
        <v>36</v>
      </c>
      <c r="C9" s="88"/>
      <c r="D9" s="89">
        <f>'6.Cons Profit &amp; Loss'!B43</f>
        <v>10000</v>
      </c>
      <c r="E9" s="89">
        <f>'6.Cons Profit &amp; Loss'!C43</f>
        <v>10000</v>
      </c>
      <c r="F9" s="89">
        <f>'6.Cons Profit &amp; Loss'!D43</f>
        <v>10000</v>
      </c>
      <c r="G9" s="89">
        <f>'6.Cons Profit &amp; Loss'!E43</f>
        <v>10000</v>
      </c>
      <c r="H9" s="89">
        <f>'6.Cons Profit &amp; Loss'!F43</f>
        <v>10000</v>
      </c>
      <c r="I9" s="89">
        <f>'6.Cons Profit &amp; Loss'!G43</f>
        <v>0</v>
      </c>
      <c r="J9" s="89">
        <f>'6.Cons Profit &amp; Loss'!H43</f>
        <v>0</v>
      </c>
    </row>
    <row r="10" spans="2:19">
      <c r="B10" s="88"/>
      <c r="C10" s="88"/>
      <c r="D10" s="88"/>
      <c r="E10" s="88"/>
      <c r="F10" s="88"/>
      <c r="G10" s="88"/>
      <c r="H10" s="88"/>
      <c r="I10" s="88"/>
      <c r="J10" s="88"/>
    </row>
    <row r="11" spans="2:19">
      <c r="B11" s="88" t="s">
        <v>32</v>
      </c>
      <c r="C11" s="88"/>
      <c r="D11" s="89">
        <f>SUM(D6:D9)</f>
        <v>2280304.2379842559</v>
      </c>
      <c r="E11" s="89">
        <f t="shared" ref="E11:J11" si="0">SUM(E6:E9)</f>
        <v>2793895.5393041521</v>
      </c>
      <c r="F11" s="89">
        <f t="shared" si="0"/>
        <v>3300332.8860662179</v>
      </c>
      <c r="G11" s="89">
        <f t="shared" si="0"/>
        <v>3876615.5965281529</v>
      </c>
      <c r="H11" s="89">
        <f t="shared" si="0"/>
        <v>4519378.1183784641</v>
      </c>
      <c r="I11" s="89">
        <f t="shared" si="0"/>
        <v>5230948.8331728112</v>
      </c>
      <c r="J11" s="89">
        <f t="shared" si="0"/>
        <v>6021078.7901344616</v>
      </c>
    </row>
    <row r="12" spans="2:19">
      <c r="B12" s="88" t="s">
        <v>352</v>
      </c>
      <c r="C12" s="91">
        <f>-'1.Project Cost and MOF'!D12</f>
        <v>-15653411</v>
      </c>
      <c r="D12" s="89">
        <f>D11</f>
        <v>2280304.2379842559</v>
      </c>
      <c r="E12" s="89">
        <f t="shared" ref="E12:J12" si="1">E11</f>
        <v>2793895.5393041521</v>
      </c>
      <c r="F12" s="89">
        <f t="shared" si="1"/>
        <v>3300332.8860662179</v>
      </c>
      <c r="G12" s="89">
        <f t="shared" si="1"/>
        <v>3876615.5965281529</v>
      </c>
      <c r="H12" s="89">
        <f t="shared" si="1"/>
        <v>4519378.1183784641</v>
      </c>
      <c r="I12" s="89">
        <f t="shared" si="1"/>
        <v>5230948.8331728112</v>
      </c>
      <c r="J12" s="89">
        <f t="shared" si="1"/>
        <v>6021078.7901344616</v>
      </c>
    </row>
    <row r="13" spans="2:19">
      <c r="B13" s="88" t="s">
        <v>284</v>
      </c>
      <c r="C13" s="272">
        <f>IRR(C12:J12)</f>
        <v>0.14275761086743688</v>
      </c>
      <c r="D13" s="89"/>
      <c r="E13" s="89"/>
      <c r="F13" s="89"/>
      <c r="G13" s="89"/>
      <c r="H13" s="89"/>
      <c r="I13" s="89"/>
      <c r="J13" s="89"/>
    </row>
    <row r="14" spans="2:19">
      <c r="B14" s="88"/>
      <c r="C14" s="88"/>
      <c r="D14" s="88"/>
      <c r="E14" s="88"/>
      <c r="F14" s="88"/>
      <c r="G14" s="88"/>
      <c r="H14" s="88"/>
      <c r="I14" s="88"/>
      <c r="J14" s="88"/>
    </row>
    <row r="15" spans="2:19" ht="16.5">
      <c r="B15" s="273" t="s">
        <v>419</v>
      </c>
      <c r="C15" s="273"/>
      <c r="D15" s="274">
        <f>1/(1+$C$13)</f>
        <v>0.87507621081685605</v>
      </c>
      <c r="E15" s="275">
        <f t="shared" ref="E15:J15" si="2">D15/(1+$C$13)</f>
        <v>0.76575837473758679</v>
      </c>
      <c r="F15" s="275">
        <f t="shared" si="2"/>
        <v>0.67009693696664163</v>
      </c>
      <c r="G15" s="275">
        <f t="shared" si="2"/>
        <v>0.58638588848075046</v>
      </c>
      <c r="H15" s="275">
        <f t="shared" si="2"/>
        <v>0.51313234136821062</v>
      </c>
      <c r="I15" s="275">
        <f t="shared" si="2"/>
        <v>0.44902990493207523</v>
      </c>
      <c r="J15" s="275">
        <f t="shared" si="2"/>
        <v>0.39293538775141351</v>
      </c>
      <c r="L15" s="17"/>
      <c r="M15" s="17"/>
      <c r="N15" s="17"/>
      <c r="O15" s="17"/>
      <c r="P15" s="17"/>
      <c r="Q15" s="17"/>
      <c r="R15" s="17"/>
      <c r="S15" s="17"/>
    </row>
    <row r="16" spans="2:19">
      <c r="B16" s="88" t="s">
        <v>33</v>
      </c>
      <c r="C16" s="88"/>
      <c r="D16" s="89">
        <f t="shared" ref="D16:J16" si="3">D11*D15</f>
        <v>1995439.9920848811</v>
      </c>
      <c r="E16" s="89">
        <f t="shared" si="3"/>
        <v>2139448.9073641412</v>
      </c>
      <c r="F16" s="89">
        <f t="shared" si="3"/>
        <v>2211542.9579232489</v>
      </c>
      <c r="G16" s="89">
        <f t="shared" si="3"/>
        <v>2273192.6808684953</v>
      </c>
      <c r="H16" s="89">
        <f t="shared" si="3"/>
        <v>2319039.0754117994</v>
      </c>
      <c r="I16" s="89">
        <f t="shared" si="3"/>
        <v>2348852.4572641375</v>
      </c>
      <c r="J16" s="89">
        <f t="shared" si="3"/>
        <v>2365894.9290832966</v>
      </c>
      <c r="L16" s="6"/>
    </row>
    <row r="17" spans="2:13">
      <c r="B17" s="88" t="s">
        <v>34</v>
      </c>
      <c r="C17" s="88"/>
      <c r="D17" s="465">
        <f>SUM(D16:J16)</f>
        <v>15653410.999999998</v>
      </c>
      <c r="E17" s="465"/>
      <c r="F17" s="465"/>
      <c r="G17" s="465"/>
      <c r="H17" s="465"/>
      <c r="I17" s="465"/>
      <c r="J17" s="465"/>
      <c r="L17" s="6"/>
    </row>
    <row r="18" spans="2:13">
      <c r="B18" s="88"/>
      <c r="C18" s="88"/>
      <c r="D18" s="89"/>
      <c r="E18" s="89"/>
      <c r="F18" s="89"/>
      <c r="G18" s="89"/>
      <c r="H18" s="89"/>
      <c r="I18" s="89"/>
      <c r="J18" s="89"/>
    </row>
    <row r="19" spans="2:13">
      <c r="B19" s="9" t="s">
        <v>35</v>
      </c>
      <c r="C19" s="9"/>
      <c r="D19" s="466">
        <f>'1.Project Cost and MOF'!D12</f>
        <v>15653411</v>
      </c>
      <c r="E19" s="466"/>
      <c r="F19" s="466"/>
      <c r="G19" s="466"/>
      <c r="H19" s="466"/>
      <c r="I19" s="466"/>
      <c r="J19" s="466"/>
    </row>
    <row r="20" spans="2:13">
      <c r="F20" s="17">
        <f>D17-D19</f>
        <v>0</v>
      </c>
    </row>
    <row r="21" spans="2:13" ht="29.45" customHeight="1">
      <c r="B21" s="459" t="s">
        <v>436</v>
      </c>
      <c r="C21" s="459"/>
      <c r="D21" s="459"/>
      <c r="E21" s="459"/>
      <c r="F21" s="459"/>
      <c r="G21" s="459"/>
      <c r="H21" s="459"/>
      <c r="I21" s="459"/>
      <c r="J21" s="459"/>
    </row>
    <row r="22" spans="2:13">
      <c r="K22" s="17"/>
      <c r="L22" s="17"/>
      <c r="M22" s="17"/>
    </row>
    <row r="23" spans="2:13" ht="18.75">
      <c r="B23" s="421" t="s">
        <v>581</v>
      </c>
      <c r="C23" s="421"/>
      <c r="D23" s="421"/>
      <c r="E23" s="421"/>
      <c r="F23" s="421"/>
      <c r="G23" s="421"/>
      <c r="H23" s="421"/>
      <c r="I23" s="421"/>
    </row>
    <row r="24" spans="2:13">
      <c r="K24" s="17"/>
    </row>
    <row r="25" spans="2:13">
      <c r="B25" s="113" t="s">
        <v>0</v>
      </c>
      <c r="C25" s="104" t="s">
        <v>2</v>
      </c>
      <c r="D25" s="104" t="s">
        <v>3</v>
      </c>
      <c r="E25" s="104" t="s">
        <v>4</v>
      </c>
      <c r="F25" s="104" t="s">
        <v>5</v>
      </c>
      <c r="G25" s="104" t="s">
        <v>6</v>
      </c>
      <c r="H25" s="104" t="s">
        <v>171</v>
      </c>
      <c r="I25" s="104" t="s">
        <v>170</v>
      </c>
    </row>
    <row r="26" spans="2:13">
      <c r="B26" s="95"/>
      <c r="C26" s="95"/>
      <c r="D26" s="95"/>
      <c r="E26" s="95"/>
      <c r="F26" s="95"/>
      <c r="G26" s="95"/>
      <c r="H26" s="95"/>
      <c r="I26" s="95"/>
    </row>
    <row r="27" spans="2:13">
      <c r="B27" s="95" t="s">
        <v>37</v>
      </c>
      <c r="C27" s="95"/>
      <c r="D27" s="95"/>
      <c r="E27" s="95"/>
      <c r="F27" s="95"/>
      <c r="G27" s="95"/>
      <c r="H27" s="95"/>
      <c r="I27" s="95"/>
    </row>
    <row r="28" spans="2:13">
      <c r="B28" s="95"/>
      <c r="C28" s="96"/>
      <c r="D28" s="96"/>
      <c r="E28" s="96"/>
      <c r="F28" s="96"/>
      <c r="G28" s="96"/>
      <c r="H28" s="96"/>
      <c r="I28" s="96"/>
    </row>
    <row r="29" spans="2:13">
      <c r="B29" s="110" t="str">
        <f>'6.Cons Profit &amp; Loss'!A8</f>
        <v>Faclitiy 1 - Cleaning &amp; Grading</v>
      </c>
      <c r="C29" s="96">
        <f>'6.Cons Profit &amp; Loss'!B8</f>
        <v>11843970.165000001</v>
      </c>
      <c r="D29" s="96">
        <f>'6.Cons Profit &amp; Loss'!C8</f>
        <v>14330189.964825004</v>
      </c>
      <c r="E29" s="96">
        <f>'6.Cons Profit &amp; Loss'!D8</f>
        <v>16420789.638303751</v>
      </c>
      <c r="F29" s="96">
        <f>'6.Cons Profit &amp; Loss'!E8</f>
        <v>18684623.804218318</v>
      </c>
      <c r="G29" s="96">
        <f>'6.Cons Profit &amp; Loss'!F8</f>
        <v>21133789.41262858</v>
      </c>
      <c r="H29" s="96">
        <f>'6.Cons Profit &amp; Loss'!G8</f>
        <v>23781160.022369325</v>
      </c>
      <c r="I29" s="96">
        <f>'6.Cons Profit &amp; Loss'!H8</f>
        <v>26640433.219552569</v>
      </c>
    </row>
    <row r="30" spans="2:13">
      <c r="B30" s="110" t="str">
        <f>'6.Cons Profit &amp; Loss'!A9</f>
        <v>Faclitiy 2 - Processing Unit- Dal Mill</v>
      </c>
      <c r="C30" s="96">
        <f>'6.Cons Profit &amp; Loss'!B9</f>
        <v>6220216.7999999998</v>
      </c>
      <c r="D30" s="96">
        <f>'6.Cons Profit &amp; Loss'!C9</f>
        <v>7353485.370000001</v>
      </c>
      <c r="E30" s="96">
        <f>'6.Cons Profit &amp; Loss'!D9</f>
        <v>8316966.0735000009</v>
      </c>
      <c r="F30" s="96">
        <f>'6.Cons Profit &amp; Loss'!E9</f>
        <v>9358411.1339250039</v>
      </c>
      <c r="G30" s="96">
        <f>'6.Cons Profit &amp; Loss'!F9</f>
        <v>10483208.285208756</v>
      </c>
      <c r="H30" s="96">
        <f>'6.Cons Profit &amp; Loss'!G9</f>
        <v>11697089.123786069</v>
      </c>
      <c r="I30" s="96">
        <f>'6.Cons Profit &amp; Loss'!H9</f>
        <v>13006150.025508091</v>
      </c>
    </row>
    <row r="31" spans="2:13">
      <c r="B31" s="110" t="str">
        <f>'6.Cons Profit &amp; Loss'!A10</f>
        <v>Faclitiy 3 - Warehouse</v>
      </c>
      <c r="C31" s="96">
        <f>'6.Cons Profit &amp; Loss'!B10</f>
        <v>0</v>
      </c>
      <c r="D31" s="96">
        <f>'6.Cons Profit &amp; Loss'!C10</f>
        <v>0</v>
      </c>
      <c r="E31" s="96">
        <f>'6.Cons Profit &amp; Loss'!D10</f>
        <v>0</v>
      </c>
      <c r="F31" s="96">
        <f>'6.Cons Profit &amp; Loss'!E10</f>
        <v>0</v>
      </c>
      <c r="G31" s="96">
        <f>'6.Cons Profit &amp; Loss'!F10</f>
        <v>0</v>
      </c>
      <c r="H31" s="96">
        <f>'6.Cons Profit &amp; Loss'!G10</f>
        <v>0</v>
      </c>
      <c r="I31" s="96">
        <f>'6.Cons Profit &amp; Loss'!H10</f>
        <v>0</v>
      </c>
    </row>
    <row r="32" spans="2:13">
      <c r="B32" s="110" t="str">
        <f>'6.Cons Profit &amp; Loss'!A11</f>
        <v xml:space="preserve">Faclitiy 4 - Custom Hiring </v>
      </c>
      <c r="C32" s="96">
        <f>'6.Cons Profit &amp; Loss'!B11</f>
        <v>5202380</v>
      </c>
      <c r="D32" s="96">
        <f>'6.Cons Profit &amp; Loss'!C11</f>
        <v>5468000</v>
      </c>
      <c r="E32" s="96">
        <f>'6.Cons Profit &amp; Loss'!D11</f>
        <v>5733004</v>
      </c>
      <c r="F32" s="96">
        <f>'6.Cons Profit &amp; Loss'!E11</f>
        <v>6020025.0000000009</v>
      </c>
      <c r="G32" s="96">
        <f>'6.Cons Profit &amp; Loss'!F11</f>
        <v>6320632.5000000009</v>
      </c>
      <c r="H32" s="96">
        <f>'6.Cons Profit &amp; Loss'!G11</f>
        <v>6636664.1250000009</v>
      </c>
      <c r="I32" s="96">
        <f>'6.Cons Profit &amp; Loss'!H11</f>
        <v>6968497.3312500026</v>
      </c>
    </row>
    <row r="33" spans="2:10">
      <c r="B33" s="110" t="str">
        <f>'6.Cons Profit &amp; Loss'!A12</f>
        <v>Faclitiy 5 - Agri Input Centre</v>
      </c>
      <c r="C33" s="96">
        <f>'6.Cons Profit &amp; Loss'!B12</f>
        <v>0</v>
      </c>
      <c r="D33" s="96">
        <f>'6.Cons Profit &amp; Loss'!C12</f>
        <v>0</v>
      </c>
      <c r="E33" s="96">
        <f>'6.Cons Profit &amp; Loss'!D12</f>
        <v>0</v>
      </c>
      <c r="F33" s="96">
        <f>'6.Cons Profit &amp; Loss'!E12</f>
        <v>0</v>
      </c>
      <c r="G33" s="96">
        <f>'6.Cons Profit &amp; Loss'!F12</f>
        <v>0</v>
      </c>
      <c r="H33" s="96">
        <f>'6.Cons Profit &amp; Loss'!G12</f>
        <v>0</v>
      </c>
      <c r="I33" s="96">
        <f>'6.Cons Profit &amp; Loss'!H12</f>
        <v>0</v>
      </c>
    </row>
    <row r="34" spans="2:10">
      <c r="B34" s="110" t="str">
        <f>'6.Cons Profit &amp; Loss'!A13</f>
        <v>Facility 6 - Processing Unit - Horti Commodity</v>
      </c>
      <c r="C34" s="96">
        <f>'6.Cons Profit &amp; Loss'!B13</f>
        <v>0</v>
      </c>
      <c r="D34" s="96">
        <f>'6.Cons Profit &amp; Loss'!C13</f>
        <v>0</v>
      </c>
      <c r="E34" s="96">
        <f>'6.Cons Profit &amp; Loss'!D13</f>
        <v>0</v>
      </c>
      <c r="F34" s="96">
        <f>'6.Cons Profit &amp; Loss'!E13</f>
        <v>0</v>
      </c>
      <c r="G34" s="96">
        <f>'6.Cons Profit &amp; Loss'!F13</f>
        <v>0</v>
      </c>
      <c r="H34" s="96">
        <f>'6.Cons Profit &amp; Loss'!G13</f>
        <v>0</v>
      </c>
      <c r="I34" s="96">
        <f>'6.Cons Profit &amp; Loss'!H13</f>
        <v>0</v>
      </c>
    </row>
    <row r="35" spans="2:10">
      <c r="B35" s="110"/>
      <c r="C35" s="110"/>
      <c r="D35" s="110"/>
      <c r="E35" s="110"/>
      <c r="F35" s="110"/>
      <c r="G35" s="110"/>
      <c r="H35" s="110"/>
      <c r="I35" s="110"/>
    </row>
    <row r="36" spans="2:10">
      <c r="B36" s="95" t="s">
        <v>8</v>
      </c>
      <c r="C36" s="96">
        <f>SUM(C29:C35)</f>
        <v>23266566.965</v>
      </c>
      <c r="D36" s="96">
        <f t="shared" ref="D36:I36" si="4">SUM(D29:D35)</f>
        <v>27151675.334825005</v>
      </c>
      <c r="E36" s="96">
        <f t="shared" si="4"/>
        <v>30470759.711803753</v>
      </c>
      <c r="F36" s="96">
        <f t="shared" si="4"/>
        <v>34063059.93814332</v>
      </c>
      <c r="G36" s="96">
        <f t="shared" si="4"/>
        <v>37937630.197837338</v>
      </c>
      <c r="H36" s="96">
        <f t="shared" si="4"/>
        <v>42114913.271155395</v>
      </c>
      <c r="I36" s="96">
        <f t="shared" si="4"/>
        <v>46615080.576310664</v>
      </c>
    </row>
    <row r="37" spans="2:10">
      <c r="B37" s="95"/>
      <c r="C37" s="96"/>
      <c r="D37" s="96"/>
      <c r="E37" s="96"/>
      <c r="F37" s="96"/>
      <c r="G37" s="96"/>
      <c r="H37" s="96"/>
      <c r="I37" s="96"/>
    </row>
    <row r="38" spans="2:10">
      <c r="B38" s="95" t="s">
        <v>38</v>
      </c>
      <c r="C38" s="96">
        <f>'6.Cons Profit &amp; Loss'!B25</f>
        <v>18650910.576850001</v>
      </c>
      <c r="D38" s="96">
        <f>'6.Cons Profit &amp; Loss'!C25</f>
        <v>21813938.530786753</v>
      </c>
      <c r="E38" s="96">
        <f>'6.Cons Profit &amp; Loss'!D25</f>
        <v>24533275.479138304</v>
      </c>
      <c r="F38" s="96">
        <f>'6.Cons Profit &amp; Loss'!E25</f>
        <v>27470011.275998045</v>
      </c>
      <c r="G38" s="96">
        <f>'6.Cons Profit &amp; Loss'!F25</f>
        <v>30639087.46384592</v>
      </c>
      <c r="H38" s="96">
        <f>'6.Cons Profit &amp; Loss'!G25</f>
        <v>34056396.242288582</v>
      </c>
      <c r="I38" s="96">
        <f>'6.Cons Profit &amp; Loss'!H25</f>
        <v>37738838.179915898</v>
      </c>
    </row>
    <row r="39" spans="2:10">
      <c r="B39" s="95"/>
      <c r="C39" s="96"/>
      <c r="D39" s="96"/>
      <c r="E39" s="96"/>
      <c r="F39" s="96"/>
      <c r="G39" s="96"/>
      <c r="H39" s="96"/>
      <c r="I39" s="96"/>
    </row>
    <row r="40" spans="2:10">
      <c r="B40" s="97" t="s">
        <v>39</v>
      </c>
      <c r="C40" s="115">
        <f>C36-C38</f>
        <v>4615656.3881499991</v>
      </c>
      <c r="D40" s="115">
        <f t="shared" ref="D40:I40" si="5">D36-D38</f>
        <v>5337736.8040382527</v>
      </c>
      <c r="E40" s="115">
        <f t="shared" si="5"/>
        <v>5937484.2326654494</v>
      </c>
      <c r="F40" s="115">
        <f t="shared" si="5"/>
        <v>6593048.6621452756</v>
      </c>
      <c r="G40" s="115">
        <f t="shared" si="5"/>
        <v>7298542.733991418</v>
      </c>
      <c r="H40" s="115">
        <f t="shared" si="5"/>
        <v>8058517.0288668126</v>
      </c>
      <c r="I40" s="115">
        <f t="shared" si="5"/>
        <v>8876242.3963947669</v>
      </c>
    </row>
    <row r="41" spans="2:10">
      <c r="B41" s="95"/>
      <c r="C41" s="96"/>
      <c r="D41" s="96"/>
      <c r="E41" s="96"/>
      <c r="F41" s="96"/>
      <c r="G41" s="96"/>
      <c r="H41" s="96"/>
      <c r="I41" s="96"/>
    </row>
    <row r="42" spans="2:10">
      <c r="B42" s="97" t="s">
        <v>41</v>
      </c>
      <c r="C42" s="115">
        <f>'6.Cons Profit &amp; Loss'!B36+'6.Cons Profit &amp; Loss'!B42+'6.Cons Profit &amp; Loss'!B43</f>
        <v>2430839.8579000002</v>
      </c>
      <c r="D42" s="115">
        <f>'6.Cons Profit &amp; Loss'!C36+'6.Cons Profit &amp; Loss'!C42+'6.Cons Profit &amp; Loss'!C43</f>
        <v>2509439.8579000002</v>
      </c>
      <c r="E42" s="115">
        <f>'6.Cons Profit &amp; Loss'!D36+'6.Cons Profit &amp; Loss'!D42+'6.Cons Profit &amp; Loss'!D43</f>
        <v>2591969.8579000002</v>
      </c>
      <c r="F42" s="115">
        <f>'6.Cons Profit &amp; Loss'!E36+'6.Cons Profit &amp; Loss'!E42+'6.Cons Profit &amp; Loss'!E43</f>
        <v>2678626.3579000002</v>
      </c>
      <c r="G42" s="115">
        <f>'6.Cons Profit &amp; Loss'!F36+'6.Cons Profit &amp; Loss'!F42+'6.Cons Profit &amp; Loss'!F43</f>
        <v>2769615.6829000004</v>
      </c>
      <c r="H42" s="115">
        <f>'6.Cons Profit &amp; Loss'!G36+'6.Cons Profit &amp; Loss'!G42+'6.Cons Profit &amp; Loss'!G43</f>
        <v>2855154.4741500001</v>
      </c>
      <c r="I42" s="115">
        <f>'6.Cons Profit &amp; Loss'!H36+'6.Cons Profit &amp; Loss'!H42+'6.Cons Profit &amp; Loss'!H43</f>
        <v>2955470.2049625004</v>
      </c>
    </row>
    <row r="43" spans="2:10">
      <c r="B43" s="95"/>
      <c r="C43" s="95"/>
      <c r="D43" s="95"/>
      <c r="E43" s="95"/>
      <c r="F43" s="95"/>
      <c r="G43" s="95"/>
      <c r="H43" s="95"/>
      <c r="I43" s="95"/>
    </row>
    <row r="44" spans="2:10">
      <c r="B44" s="95" t="s">
        <v>40</v>
      </c>
      <c r="C44" s="114">
        <f>C42/C40</f>
        <v>0.52665095784443883</v>
      </c>
      <c r="D44" s="114">
        <f>D42/D40</f>
        <v>0.4701318086724488</v>
      </c>
      <c r="E44" s="114">
        <f>E42/E40</f>
        <v>0.4365434511202762</v>
      </c>
      <c r="F44" s="114">
        <f>F42/F40</f>
        <v>0.40628038638325731</v>
      </c>
      <c r="G44" s="114">
        <f>G42/G40</f>
        <v>0.37947516152794469</v>
      </c>
      <c r="H44" s="114">
        <f t="shared" ref="H44:I44" si="6">H42/H40</f>
        <v>0.35430271648274864</v>
      </c>
      <c r="I44" s="114">
        <f t="shared" si="6"/>
        <v>0.33296411623041228</v>
      </c>
    </row>
    <row r="45" spans="2:10">
      <c r="B45" s="94"/>
      <c r="C45" s="94"/>
      <c r="D45" s="94"/>
      <c r="E45" s="94"/>
      <c r="F45" s="94"/>
      <c r="G45" s="94"/>
      <c r="H45" s="94"/>
      <c r="I45" s="94"/>
    </row>
    <row r="46" spans="2:10">
      <c r="B46" s="116" t="s">
        <v>134</v>
      </c>
      <c r="C46" s="117">
        <f>AVERAGE(C44:I44)</f>
        <v>0.41519265689450385</v>
      </c>
      <c r="D46" s="94"/>
      <c r="E46" s="94"/>
      <c r="F46" s="94"/>
      <c r="G46" s="94"/>
      <c r="H46" s="94"/>
      <c r="I46" s="94"/>
    </row>
    <row r="48" spans="2:10" ht="41.45" customHeight="1">
      <c r="B48" s="460" t="s">
        <v>437</v>
      </c>
      <c r="C48" s="460"/>
      <c r="D48" s="460"/>
      <c r="E48" s="460"/>
      <c r="F48" s="460"/>
      <c r="G48" s="460"/>
      <c r="H48" s="460"/>
      <c r="I48" s="460"/>
      <c r="J48" s="460"/>
    </row>
    <row r="51" spans="2:9" ht="18.75">
      <c r="B51" s="421" t="s">
        <v>582</v>
      </c>
      <c r="C51" s="421"/>
      <c r="D51" s="421"/>
      <c r="E51" s="421"/>
      <c r="F51" s="421"/>
      <c r="G51" s="421"/>
      <c r="H51" s="421"/>
      <c r="I51" s="421"/>
    </row>
    <row r="53" spans="2:9">
      <c r="B53" s="82" t="s">
        <v>29</v>
      </c>
      <c r="C53" s="83" t="s">
        <v>2</v>
      </c>
      <c r="D53" s="83" t="s">
        <v>3</v>
      </c>
      <c r="E53" s="83" t="s">
        <v>4</v>
      </c>
      <c r="F53" s="83" t="s">
        <v>5</v>
      </c>
      <c r="G53" s="83" t="s">
        <v>6</v>
      </c>
      <c r="H53" s="83" t="s">
        <v>171</v>
      </c>
      <c r="I53" s="83" t="s">
        <v>170</v>
      </c>
    </row>
    <row r="54" spans="2:9">
      <c r="B54" s="95"/>
      <c r="C54" s="95"/>
      <c r="D54" s="95"/>
      <c r="E54" s="95"/>
      <c r="F54" s="95"/>
      <c r="G54" s="95"/>
      <c r="H54" s="95"/>
      <c r="I54" s="95"/>
    </row>
    <row r="55" spans="2:9">
      <c r="B55" s="95" t="s">
        <v>385</v>
      </c>
      <c r="C55" s="342">
        <f>'6.Cons Profit &amp; Loss'!B51</f>
        <v>1421464.3800842559</v>
      </c>
      <c r="D55" s="342">
        <f>'6.Cons Profit &amp; Loss'!C51</f>
        <v>1935055.681404152</v>
      </c>
      <c r="E55" s="342">
        <f>'6.Cons Profit &amp; Loss'!D51</f>
        <v>2441493.0281662182</v>
      </c>
      <c r="F55" s="342">
        <f>'6.Cons Profit &amp; Loss'!E51</f>
        <v>3017775.7386281532</v>
      </c>
      <c r="G55" s="342">
        <f>'6.Cons Profit &amp; Loss'!F51</f>
        <v>3660538.260478464</v>
      </c>
      <c r="H55" s="342">
        <f>'6.Cons Profit &amp; Loss'!G51</f>
        <v>4382108.975272811</v>
      </c>
      <c r="I55" s="342">
        <f>'6.Cons Profit &amp; Loss'!H51</f>
        <v>5172238.9322344614</v>
      </c>
    </row>
    <row r="56" spans="2:9">
      <c r="B56" s="95"/>
      <c r="C56" s="342"/>
      <c r="D56" s="342"/>
      <c r="E56" s="342"/>
      <c r="F56" s="342"/>
      <c r="G56" s="342"/>
      <c r="H56" s="342"/>
      <c r="I56" s="342"/>
    </row>
    <row r="57" spans="2:9">
      <c r="B57" s="95" t="s">
        <v>42</v>
      </c>
      <c r="C57" s="342">
        <f>'6.Cons Profit &amp; Loss'!B42</f>
        <v>848839.85789999994</v>
      </c>
      <c r="D57" s="342">
        <f>'6.Cons Profit &amp; Loss'!C42</f>
        <v>848839.85789999994</v>
      </c>
      <c r="E57" s="342">
        <f>'6.Cons Profit &amp; Loss'!D42</f>
        <v>848839.85789999994</v>
      </c>
      <c r="F57" s="342">
        <f>'6.Cons Profit &amp; Loss'!E42</f>
        <v>848839.85789999994</v>
      </c>
      <c r="G57" s="342">
        <f>'6.Cons Profit &amp; Loss'!F42</f>
        <v>848839.85789999994</v>
      </c>
      <c r="H57" s="342">
        <f>'6.Cons Profit &amp; Loss'!G42</f>
        <v>848839.85789999994</v>
      </c>
      <c r="I57" s="342">
        <f>'6.Cons Profit &amp; Loss'!H42</f>
        <v>848839.85789999994</v>
      </c>
    </row>
    <row r="58" spans="2:9">
      <c r="B58" s="109" t="s">
        <v>48</v>
      </c>
      <c r="C58" s="342">
        <f>'6.Cons Profit &amp; Loss'!B43</f>
        <v>10000</v>
      </c>
      <c r="D58" s="342">
        <f>'6.Cons Profit &amp; Loss'!C43</f>
        <v>10000</v>
      </c>
      <c r="E58" s="342">
        <f>'6.Cons Profit &amp; Loss'!D43</f>
        <v>10000</v>
      </c>
      <c r="F58" s="342">
        <f>'6.Cons Profit &amp; Loss'!E43</f>
        <v>10000</v>
      </c>
      <c r="G58" s="342">
        <f>'6.Cons Profit &amp; Loss'!F43</f>
        <v>10000</v>
      </c>
      <c r="H58" s="342">
        <f>'6.Cons Profit &amp; Loss'!G43</f>
        <v>0</v>
      </c>
      <c r="I58" s="342">
        <f>'6.Cons Profit &amp; Loss'!H43</f>
        <v>0</v>
      </c>
    </row>
    <row r="59" spans="2:9">
      <c r="B59" s="95"/>
      <c r="C59" s="342"/>
      <c r="D59" s="342"/>
      <c r="E59" s="342"/>
      <c r="F59" s="342"/>
      <c r="G59" s="342"/>
      <c r="H59" s="342"/>
      <c r="I59" s="342"/>
    </row>
    <row r="60" spans="2:9">
      <c r="B60" s="95" t="s">
        <v>32</v>
      </c>
      <c r="C60" s="342">
        <f>SUM(C55:C58)</f>
        <v>2280304.2379842559</v>
      </c>
      <c r="D60" s="342">
        <f t="shared" ref="D60:I60" si="7">SUM(D55:D58)</f>
        <v>2793895.5393041521</v>
      </c>
      <c r="E60" s="342">
        <f t="shared" si="7"/>
        <v>3300332.8860662179</v>
      </c>
      <c r="F60" s="342">
        <f t="shared" si="7"/>
        <v>3876615.5965281529</v>
      </c>
      <c r="G60" s="342">
        <f t="shared" si="7"/>
        <v>4519378.1183784641</v>
      </c>
      <c r="H60" s="342">
        <f t="shared" si="7"/>
        <v>5230948.8331728112</v>
      </c>
      <c r="I60" s="342">
        <f t="shared" si="7"/>
        <v>6021078.7901344616</v>
      </c>
    </row>
    <row r="61" spans="2:9">
      <c r="B61" s="95"/>
      <c r="C61" s="95"/>
      <c r="D61" s="95"/>
      <c r="E61" s="95"/>
      <c r="F61" s="95"/>
      <c r="G61" s="95"/>
      <c r="H61" s="95"/>
      <c r="I61" s="95"/>
    </row>
    <row r="62" spans="2:9" ht="16.5">
      <c r="B62" s="11" t="s">
        <v>43</v>
      </c>
      <c r="C62" s="110">
        <f>1/1.1</f>
        <v>0.90909090909090906</v>
      </c>
      <c r="D62" s="110">
        <f t="shared" ref="D62:I62" si="8">C62/1.1</f>
        <v>0.82644628099173545</v>
      </c>
      <c r="E62" s="110">
        <f t="shared" si="8"/>
        <v>0.75131480090157765</v>
      </c>
      <c r="F62" s="110">
        <f t="shared" si="8"/>
        <v>0.68301345536507052</v>
      </c>
      <c r="G62" s="110">
        <f t="shared" si="8"/>
        <v>0.62092132305915493</v>
      </c>
      <c r="H62" s="110">
        <f t="shared" si="8"/>
        <v>0.56447393005377711</v>
      </c>
      <c r="I62" s="110">
        <f t="shared" si="8"/>
        <v>0.51315811823070645</v>
      </c>
    </row>
    <row r="63" spans="2:9">
      <c r="B63" s="95"/>
      <c r="C63" s="95"/>
      <c r="D63" s="95"/>
      <c r="E63" s="95"/>
      <c r="F63" s="95"/>
      <c r="G63" s="95"/>
      <c r="H63" s="95"/>
      <c r="I63" s="95"/>
    </row>
    <row r="64" spans="2:9" ht="16.5">
      <c r="B64" s="11" t="s">
        <v>44</v>
      </c>
      <c r="C64" s="96">
        <f>C60*C62</f>
        <v>2073003.8527129597</v>
      </c>
      <c r="D64" s="96">
        <f t="shared" ref="D64:I64" si="9">D60*D62</f>
        <v>2309004.5779373157</v>
      </c>
      <c r="E64" s="96">
        <f t="shared" si="9"/>
        <v>2479588.9452037695</v>
      </c>
      <c r="F64" s="96">
        <f t="shared" si="9"/>
        <v>2647780.6137068179</v>
      </c>
      <c r="G64" s="96">
        <f t="shared" si="9"/>
        <v>2806178.2406681501</v>
      </c>
      <c r="H64" s="96">
        <f t="shared" si="9"/>
        <v>2952734.2457712763</v>
      </c>
      <c r="I64" s="96">
        <f t="shared" si="9"/>
        <v>3089765.4616642189</v>
      </c>
    </row>
    <row r="65" spans="2:10">
      <c r="B65" s="94"/>
      <c r="C65" s="112"/>
      <c r="D65" s="112"/>
      <c r="E65" s="112"/>
      <c r="F65" s="112"/>
      <c r="G65" s="112"/>
      <c r="H65" s="112"/>
      <c r="I65" s="112"/>
    </row>
    <row r="66" spans="2:10" ht="16.5">
      <c r="B66" s="12" t="s">
        <v>45</v>
      </c>
      <c r="C66" s="112">
        <f>SUM(C64:I64)</f>
        <v>18358055.937664509</v>
      </c>
      <c r="D66" s="112"/>
      <c r="E66" s="112"/>
      <c r="F66" s="112"/>
      <c r="G66" s="112"/>
      <c r="H66" s="112"/>
      <c r="I66" s="112"/>
    </row>
    <row r="67" spans="2:10">
      <c r="B67" s="94"/>
      <c r="C67" s="112"/>
      <c r="D67" s="112"/>
      <c r="E67" s="112"/>
      <c r="F67" s="112"/>
      <c r="G67" s="112"/>
      <c r="H67" s="112"/>
      <c r="I67" s="112"/>
    </row>
    <row r="68" spans="2:10" ht="16.5">
      <c r="B68" s="12" t="s">
        <v>46</v>
      </c>
      <c r="C68" s="112">
        <f>'1.Project Cost and MOF'!D12</f>
        <v>15653411</v>
      </c>
      <c r="D68" s="112"/>
      <c r="E68" s="112"/>
      <c r="F68" s="112"/>
      <c r="G68" s="112"/>
      <c r="H68" s="112"/>
      <c r="I68" s="112"/>
    </row>
    <row r="69" spans="2:10">
      <c r="B69" s="94"/>
      <c r="C69" s="111"/>
      <c r="D69" s="94"/>
      <c r="E69" s="94"/>
      <c r="F69" s="94"/>
      <c r="G69" s="94"/>
      <c r="H69" s="94"/>
      <c r="I69" s="94"/>
    </row>
    <row r="70" spans="2:10" ht="16.5">
      <c r="B70" s="12" t="s">
        <v>47</v>
      </c>
      <c r="C70" s="111">
        <f>C66-C68</f>
        <v>2704644.9376645088</v>
      </c>
      <c r="D70" s="94"/>
      <c r="E70" s="94"/>
      <c r="F70" s="94"/>
      <c r="G70" s="94"/>
      <c r="H70" s="94"/>
      <c r="I70" s="94"/>
    </row>
    <row r="72" spans="2:10" ht="35.1" customHeight="1">
      <c r="B72" s="432" t="s">
        <v>438</v>
      </c>
      <c r="C72" s="432"/>
      <c r="D72" s="432"/>
      <c r="E72" s="432"/>
      <c r="F72" s="432"/>
      <c r="G72" s="432"/>
      <c r="H72" s="432"/>
      <c r="I72" s="432"/>
      <c r="J72" s="432"/>
    </row>
    <row r="73" spans="2:10" ht="18.75">
      <c r="B73" s="421" t="s">
        <v>583</v>
      </c>
      <c r="C73" s="421"/>
      <c r="D73" s="421"/>
      <c r="E73" s="421"/>
      <c r="F73" s="421"/>
      <c r="G73" s="421"/>
      <c r="H73" s="421"/>
      <c r="I73" s="421"/>
    </row>
    <row r="74" spans="2:10">
      <c r="B74" s="94"/>
      <c r="C74" s="94"/>
      <c r="D74" s="94"/>
      <c r="E74" s="94"/>
      <c r="F74" s="94"/>
      <c r="G74" s="94"/>
      <c r="H74" s="94"/>
      <c r="I74" s="94"/>
    </row>
    <row r="75" spans="2:10" ht="15.75">
      <c r="B75" s="72" t="s">
        <v>0</v>
      </c>
      <c r="C75" s="72" t="s">
        <v>2</v>
      </c>
      <c r="D75" s="72" t="s">
        <v>3</v>
      </c>
      <c r="E75" s="72" t="s">
        <v>4</v>
      </c>
      <c r="F75" s="72" t="s">
        <v>5</v>
      </c>
      <c r="G75" s="72" t="s">
        <v>6</v>
      </c>
      <c r="H75" s="72" t="s">
        <v>171</v>
      </c>
      <c r="I75" s="72" t="s">
        <v>170</v>
      </c>
    </row>
    <row r="76" spans="2:10" ht="15.75">
      <c r="B76" s="69"/>
      <c r="C76" s="70"/>
      <c r="D76" s="70"/>
      <c r="E76" s="70"/>
      <c r="F76" s="70"/>
      <c r="G76" s="70"/>
      <c r="H76" s="70"/>
      <c r="I76" s="70"/>
    </row>
    <row r="77" spans="2:10">
      <c r="B77" s="97" t="s">
        <v>27</v>
      </c>
      <c r="C77" s="96">
        <f>'6.Cons Profit &amp; Loss'!B51</f>
        <v>1421464.3800842559</v>
      </c>
      <c r="D77" s="96">
        <f>'6.Cons Profit &amp; Loss'!C51</f>
        <v>1935055.681404152</v>
      </c>
      <c r="E77" s="96">
        <f>'6.Cons Profit &amp; Loss'!D51</f>
        <v>2441493.0281662182</v>
      </c>
      <c r="F77" s="96">
        <f>'6.Cons Profit &amp; Loss'!E51</f>
        <v>3017775.7386281532</v>
      </c>
      <c r="G77" s="96">
        <f>'6.Cons Profit &amp; Loss'!F51</f>
        <v>3660538.260478464</v>
      </c>
      <c r="H77" s="96">
        <f>'6.Cons Profit &amp; Loss'!G51</f>
        <v>4382108.975272811</v>
      </c>
      <c r="I77" s="96">
        <f>'6.Cons Profit &amp; Loss'!H51</f>
        <v>5172238.9322344614</v>
      </c>
    </row>
    <row r="78" spans="2:10">
      <c r="B78" s="95"/>
      <c r="C78" s="95"/>
      <c r="D78" s="95"/>
      <c r="E78" s="95"/>
      <c r="F78" s="95"/>
      <c r="G78" s="95"/>
      <c r="H78" s="95"/>
      <c r="I78" s="95"/>
    </row>
    <row r="79" spans="2:10">
      <c r="B79" s="97" t="s">
        <v>124</v>
      </c>
      <c r="C79" s="468">
        <f>AVERAGE(C77:I77)</f>
        <v>3147239.2851812169</v>
      </c>
      <c r="D79" s="468"/>
      <c r="E79" s="468"/>
      <c r="F79" s="468"/>
      <c r="G79" s="468"/>
      <c r="H79" s="468"/>
      <c r="I79" s="468"/>
    </row>
    <row r="80" spans="2:10">
      <c r="B80" s="97" t="s">
        <v>125</v>
      </c>
      <c r="C80" s="468">
        <f>'1.Project Cost and MOF'!D12</f>
        <v>15653411</v>
      </c>
      <c r="D80" s="468"/>
      <c r="E80" s="468"/>
      <c r="F80" s="468"/>
      <c r="G80" s="468"/>
      <c r="H80" s="468"/>
      <c r="I80" s="468"/>
    </row>
    <row r="81" spans="2:10">
      <c r="B81" s="95"/>
      <c r="C81" s="95"/>
      <c r="D81" s="95"/>
      <c r="E81" s="95"/>
      <c r="F81" s="95"/>
      <c r="G81" s="95"/>
      <c r="H81" s="95"/>
      <c r="I81" s="95"/>
    </row>
    <row r="82" spans="2:10">
      <c r="B82" s="271" t="s">
        <v>126</v>
      </c>
      <c r="C82" s="469">
        <f>C79/C80</f>
        <v>0.20105773017658687</v>
      </c>
      <c r="D82" s="469"/>
      <c r="E82" s="469"/>
      <c r="F82" s="469"/>
      <c r="G82" s="469"/>
      <c r="H82" s="469"/>
      <c r="I82" s="469"/>
    </row>
    <row r="85" spans="2:10">
      <c r="B85" s="467" t="s">
        <v>439</v>
      </c>
      <c r="C85" s="467"/>
      <c r="D85" s="467"/>
      <c r="E85" s="467"/>
      <c r="F85" s="467"/>
      <c r="G85" s="467"/>
      <c r="H85" s="467"/>
      <c r="I85" s="467"/>
    </row>
    <row r="87" spans="2:10" ht="18.75">
      <c r="B87" s="421" t="s">
        <v>584</v>
      </c>
      <c r="C87" s="421"/>
      <c r="D87" s="421"/>
      <c r="E87" s="421"/>
      <c r="F87" s="421"/>
      <c r="G87" s="421"/>
      <c r="H87" s="421"/>
      <c r="I87" s="421"/>
      <c r="J87" s="421"/>
    </row>
    <row r="89" spans="2:10">
      <c r="B89" s="104" t="s">
        <v>0</v>
      </c>
      <c r="C89" s="104" t="s">
        <v>343</v>
      </c>
      <c r="D89" s="104" t="s">
        <v>2</v>
      </c>
      <c r="E89" s="104" t="s">
        <v>3</v>
      </c>
      <c r="F89" s="104" t="s">
        <v>4</v>
      </c>
      <c r="G89" s="104" t="s">
        <v>5</v>
      </c>
      <c r="H89" s="104" t="s">
        <v>6</v>
      </c>
      <c r="I89" s="104" t="s">
        <v>171</v>
      </c>
      <c r="J89" s="104" t="s">
        <v>170</v>
      </c>
    </row>
    <row r="90" spans="2:10">
      <c r="B90" s="105"/>
      <c r="C90" s="105"/>
      <c r="D90" s="106"/>
      <c r="E90" s="106"/>
      <c r="F90" s="106"/>
      <c r="G90" s="106"/>
      <c r="H90" s="106"/>
      <c r="I90" s="106"/>
      <c r="J90" s="106"/>
    </row>
    <row r="91" spans="2:10">
      <c r="B91" s="24" t="s">
        <v>285</v>
      </c>
      <c r="C91" s="107">
        <f>'1.Project Cost and MOF'!D12</f>
        <v>15653411</v>
      </c>
      <c r="D91" s="106"/>
      <c r="E91" s="106"/>
      <c r="F91" s="106"/>
      <c r="G91" s="106"/>
      <c r="H91" s="106"/>
      <c r="I91" s="106"/>
      <c r="J91" s="106"/>
    </row>
    <row r="92" spans="2:10">
      <c r="B92" s="25" t="str">
        <f>B55</f>
        <v>Profit after Tax &amp; Dividend</v>
      </c>
      <c r="C92" s="25"/>
      <c r="D92" s="26">
        <f>'6.Cons Profit &amp; Loss'!B51</f>
        <v>1421464.3800842559</v>
      </c>
      <c r="E92" s="26">
        <f>'6.Cons Profit &amp; Loss'!C51</f>
        <v>1935055.681404152</v>
      </c>
      <c r="F92" s="26">
        <f>'6.Cons Profit &amp; Loss'!D51</f>
        <v>2441493.0281662182</v>
      </c>
      <c r="G92" s="26">
        <f>'6.Cons Profit &amp; Loss'!E51</f>
        <v>3017775.7386281532</v>
      </c>
      <c r="H92" s="26">
        <f>'6.Cons Profit &amp; Loss'!F51</f>
        <v>3660538.260478464</v>
      </c>
      <c r="I92" s="26">
        <f>'6.Cons Profit &amp; Loss'!G51</f>
        <v>4382108.975272811</v>
      </c>
      <c r="J92" s="26">
        <f>'6.Cons Profit &amp; Loss'!H51</f>
        <v>5172238.9322344614</v>
      </c>
    </row>
    <row r="93" spans="2:10">
      <c r="B93" s="25" t="str">
        <f>B57</f>
        <v>Add: Deprication</v>
      </c>
      <c r="C93" s="25"/>
      <c r="D93" s="92">
        <f>'6.Cons Profit &amp; Loss'!B42</f>
        <v>848839.85789999994</v>
      </c>
      <c r="E93" s="92">
        <f>'6.Cons Profit &amp; Loss'!C42</f>
        <v>848839.85789999994</v>
      </c>
      <c r="F93" s="92">
        <f>'6.Cons Profit &amp; Loss'!D42</f>
        <v>848839.85789999994</v>
      </c>
      <c r="G93" s="92">
        <f>'6.Cons Profit &amp; Loss'!E42</f>
        <v>848839.85789999994</v>
      </c>
      <c r="H93" s="92">
        <f>'6.Cons Profit &amp; Loss'!F42</f>
        <v>848839.85789999994</v>
      </c>
      <c r="I93" s="92">
        <f>'6.Cons Profit &amp; Loss'!G42</f>
        <v>848839.85789999994</v>
      </c>
      <c r="J93" s="92">
        <f>'6.Cons Profit &amp; Loss'!H42</f>
        <v>848839.85789999994</v>
      </c>
    </row>
    <row r="94" spans="2:10">
      <c r="B94" s="25" t="str">
        <f>B58</f>
        <v>Add. Preliminary exp Written off</v>
      </c>
      <c r="C94" s="25"/>
      <c r="D94" s="92">
        <f>'6.Cons Profit &amp; Loss'!B43</f>
        <v>10000</v>
      </c>
      <c r="E94" s="92">
        <f>'6.Cons Profit &amp; Loss'!C43</f>
        <v>10000</v>
      </c>
      <c r="F94" s="92">
        <f>'6.Cons Profit &amp; Loss'!D43</f>
        <v>10000</v>
      </c>
      <c r="G94" s="92">
        <f>'6.Cons Profit &amp; Loss'!E43</f>
        <v>10000</v>
      </c>
      <c r="H94" s="92">
        <f>'6.Cons Profit &amp; Loss'!F43</f>
        <v>10000</v>
      </c>
      <c r="I94" s="92">
        <f>'6.Cons Profit &amp; Loss'!G43</f>
        <v>0</v>
      </c>
      <c r="J94" s="92">
        <f>'6.Cons Profit &amp; Loss'!H43</f>
        <v>0</v>
      </c>
    </row>
    <row r="95" spans="2:10">
      <c r="B95" s="25" t="str">
        <f>B60</f>
        <v xml:space="preserve">Net Cash Accrual (A)      </v>
      </c>
      <c r="C95" s="25"/>
      <c r="D95" s="270">
        <f>SUM(D92:D94)</f>
        <v>2280304.2379842559</v>
      </c>
      <c r="E95" s="270">
        <f t="shared" ref="E95:J95" si="10">SUM(E92:E94)</f>
        <v>2793895.5393041521</v>
      </c>
      <c r="F95" s="270">
        <f t="shared" si="10"/>
        <v>3300332.8860662179</v>
      </c>
      <c r="G95" s="270">
        <f t="shared" si="10"/>
        <v>3876615.5965281529</v>
      </c>
      <c r="H95" s="270">
        <f t="shared" si="10"/>
        <v>4519378.1183784641</v>
      </c>
      <c r="I95" s="270">
        <f t="shared" si="10"/>
        <v>5230948.8331728112</v>
      </c>
      <c r="J95" s="270">
        <f t="shared" si="10"/>
        <v>6021078.7901344616</v>
      </c>
    </row>
    <row r="96" spans="2:10">
      <c r="B96" s="24" t="s">
        <v>286</v>
      </c>
      <c r="C96" s="108"/>
      <c r="D96" s="71">
        <f>D95-C91</f>
        <v>-13373106.762015745</v>
      </c>
      <c r="E96" s="71">
        <f>D96+E95</f>
        <v>-10579211.222711593</v>
      </c>
      <c r="F96" s="71">
        <f>E96+F95</f>
        <v>-7278878.336645375</v>
      </c>
      <c r="G96" s="71">
        <f>F96+G95</f>
        <v>-3402262.7401172221</v>
      </c>
      <c r="H96" s="71">
        <f>G96+H95</f>
        <v>1117115.3782612421</v>
      </c>
      <c r="I96" s="93"/>
      <c r="J96" s="93"/>
    </row>
    <row r="97" spans="2:10">
      <c r="B97" s="7"/>
      <c r="C97" s="7"/>
      <c r="D97" s="7"/>
      <c r="E97" s="7"/>
      <c r="F97" s="7"/>
      <c r="G97" s="7"/>
      <c r="H97" s="7"/>
      <c r="I97" s="7"/>
      <c r="J97" s="7"/>
    </row>
    <row r="98" spans="2:10">
      <c r="B98" s="27" t="s">
        <v>287</v>
      </c>
      <c r="C98" s="7"/>
      <c r="D98" s="64">
        <f>4+(-G96/H95)</f>
        <v>4.7528165714396877</v>
      </c>
      <c r="E98" s="7"/>
      <c r="F98" s="7"/>
      <c r="G98" s="7"/>
      <c r="H98" s="7"/>
      <c r="I98" s="7"/>
      <c r="J98" s="7"/>
    </row>
    <row r="99" spans="2:10">
      <c r="B99" s="7"/>
      <c r="C99" s="7"/>
      <c r="D99" s="7"/>
      <c r="E99" s="7"/>
      <c r="F99" s="7"/>
      <c r="G99" s="7"/>
      <c r="H99" s="7"/>
      <c r="I99" s="7"/>
      <c r="J99" s="7"/>
    </row>
    <row r="100" spans="2:10">
      <c r="B100" s="467" t="s">
        <v>440</v>
      </c>
      <c r="C100" s="467"/>
      <c r="D100" s="467"/>
      <c r="E100" s="467"/>
      <c r="F100" s="467"/>
      <c r="G100" s="467"/>
      <c r="H100" s="467"/>
      <c r="I100" s="467"/>
      <c r="J100" s="467"/>
    </row>
    <row r="102" spans="2:10" ht="18.75">
      <c r="B102" s="421" t="s">
        <v>585</v>
      </c>
      <c r="C102" s="421"/>
      <c r="D102" s="421"/>
      <c r="E102" s="421"/>
      <c r="F102" s="421"/>
      <c r="G102" s="421"/>
      <c r="H102" s="421"/>
      <c r="I102" s="421"/>
    </row>
    <row r="104" spans="2:10" ht="15.75">
      <c r="B104" s="72" t="s">
        <v>0</v>
      </c>
      <c r="C104" s="72" t="s">
        <v>2</v>
      </c>
      <c r="D104" s="72" t="s">
        <v>3</v>
      </c>
      <c r="E104" s="72" t="s">
        <v>4</v>
      </c>
      <c r="F104" s="72" t="s">
        <v>5</v>
      </c>
      <c r="G104" s="72" t="s">
        <v>6</v>
      </c>
      <c r="H104" s="72" t="s">
        <v>171</v>
      </c>
      <c r="I104" s="72" t="s">
        <v>170</v>
      </c>
    </row>
    <row r="105" spans="2:10" ht="15.75">
      <c r="B105" s="69"/>
      <c r="C105" s="70"/>
      <c r="D105" s="70"/>
      <c r="E105" s="70"/>
      <c r="F105" s="70"/>
      <c r="G105" s="70"/>
      <c r="H105" s="70"/>
      <c r="I105" s="70"/>
    </row>
    <row r="106" spans="2:10">
      <c r="B106" s="95" t="s">
        <v>346</v>
      </c>
      <c r="C106" s="96">
        <f>'6.Cons Profit &amp; Loss'!B40</f>
        <v>3043656.3881499991</v>
      </c>
      <c r="D106" s="96">
        <f>'6.Cons Profit &amp; Loss'!C40</f>
        <v>3687136.8040382527</v>
      </c>
      <c r="E106" s="96">
        <f>'6.Cons Profit &amp; Loss'!D40</f>
        <v>4204354.2326654494</v>
      </c>
      <c r="F106" s="96">
        <f>'6.Cons Profit &amp; Loss'!E40</f>
        <v>4773262.1621452756</v>
      </c>
      <c r="G106" s="96">
        <f>'6.Cons Profit &amp; Loss'!F40</f>
        <v>5387766.9089914188</v>
      </c>
      <c r="H106" s="96">
        <f>'6.Cons Profit &amp; Loss'!G40</f>
        <v>6052202.4126168117</v>
      </c>
      <c r="I106" s="96">
        <f>'6.Cons Profit &amp; Loss'!H40</f>
        <v>6769612.0493322685</v>
      </c>
    </row>
    <row r="107" spans="2:10">
      <c r="B107" s="95" t="s">
        <v>356</v>
      </c>
      <c r="C107" s="96">
        <f>'6.Cons Profit &amp; Loss'!B42</f>
        <v>848839.85789999994</v>
      </c>
      <c r="D107" s="96">
        <f>'6.Cons Profit &amp; Loss'!C42</f>
        <v>848839.85789999994</v>
      </c>
      <c r="E107" s="96">
        <f>'6.Cons Profit &amp; Loss'!D42</f>
        <v>848839.85789999994</v>
      </c>
      <c r="F107" s="96">
        <f>'6.Cons Profit &amp; Loss'!E42</f>
        <v>848839.85789999994</v>
      </c>
      <c r="G107" s="96">
        <f>'6.Cons Profit &amp; Loss'!F42</f>
        <v>848839.85789999994</v>
      </c>
      <c r="H107" s="96">
        <f>'6.Cons Profit &amp; Loss'!G42</f>
        <v>848839.85789999994</v>
      </c>
      <c r="I107" s="96">
        <f>'6.Cons Profit &amp; Loss'!H42</f>
        <v>848839.85789999994</v>
      </c>
    </row>
    <row r="108" spans="2:10">
      <c r="B108" s="95" t="s">
        <v>357</v>
      </c>
      <c r="C108" s="96">
        <f>'6.Cons Profit &amp; Loss'!B43</f>
        <v>10000</v>
      </c>
      <c r="D108" s="96">
        <f>'6.Cons Profit &amp; Loss'!C43</f>
        <v>10000</v>
      </c>
      <c r="E108" s="96">
        <f>'6.Cons Profit &amp; Loss'!D43</f>
        <v>10000</v>
      </c>
      <c r="F108" s="96">
        <f>'6.Cons Profit &amp; Loss'!E43</f>
        <v>10000</v>
      </c>
      <c r="G108" s="96">
        <f>'6.Cons Profit &amp; Loss'!F43</f>
        <v>10000</v>
      </c>
      <c r="H108" s="96">
        <f>'6.Cons Profit &amp; Loss'!G43</f>
        <v>0</v>
      </c>
      <c r="I108" s="96">
        <f>'6.Cons Profit &amp; Loss'!H43</f>
        <v>0</v>
      </c>
    </row>
    <row r="109" spans="2:10">
      <c r="B109" s="95" t="s">
        <v>358</v>
      </c>
      <c r="C109" s="96">
        <f>'8.Cash Flow '!C26</f>
        <v>575789.70775695064</v>
      </c>
      <c r="D109" s="96">
        <f>'8.Cash Flow '!D26</f>
        <v>361641.48896059697</v>
      </c>
      <c r="E109" s="96">
        <f>'8.Cash Flow '!E26</f>
        <v>85148.646505076395</v>
      </c>
      <c r="F109" s="96">
        <f>'8.Cash Flow '!F26</f>
        <v>-223339.62589570353</v>
      </c>
      <c r="G109" s="96">
        <f>'8.Cash Flow '!G26</f>
        <v>-567525.80215857376</v>
      </c>
      <c r="H109" s="96">
        <f>'8.Cash Flow '!H26</f>
        <v>-951540.80217306374</v>
      </c>
      <c r="I109" s="96">
        <f>'8.Cash Flow '!I26</f>
        <v>-1379993.5710707358</v>
      </c>
    </row>
    <row r="110" spans="2:10">
      <c r="B110" s="97" t="s">
        <v>1</v>
      </c>
      <c r="C110" s="98">
        <f>SUM(C106:C109)</f>
        <v>4478285.9538069498</v>
      </c>
      <c r="D110" s="98">
        <f t="shared" ref="D110:I110" si="11">SUM(D106:D109)</f>
        <v>4907618.1508988496</v>
      </c>
      <c r="E110" s="98">
        <f t="shared" si="11"/>
        <v>5148342.737070526</v>
      </c>
      <c r="F110" s="98">
        <f t="shared" si="11"/>
        <v>5408762.3941495726</v>
      </c>
      <c r="G110" s="98">
        <f t="shared" si="11"/>
        <v>5679080.9647328453</v>
      </c>
      <c r="H110" s="98">
        <f t="shared" si="11"/>
        <v>5949501.4683437478</v>
      </c>
      <c r="I110" s="98">
        <f t="shared" si="11"/>
        <v>6238458.3361615334</v>
      </c>
    </row>
    <row r="111" spans="2:10">
      <c r="B111" s="95"/>
      <c r="C111" s="95"/>
      <c r="D111" s="95"/>
      <c r="E111" s="95"/>
      <c r="F111" s="95"/>
      <c r="G111" s="95"/>
      <c r="H111" s="95"/>
      <c r="I111" s="95"/>
    </row>
    <row r="112" spans="2:10">
      <c r="B112" s="99" t="s">
        <v>288</v>
      </c>
      <c r="C112" s="100">
        <f>'8.Cash Flow '!C25+'8.Cash Flow '!C26</f>
        <v>1675861.5842155283</v>
      </c>
      <c r="D112" s="100">
        <f>'8.Cash Flow '!D25+'8.Cash Flow '!D26</f>
        <v>2750991.8449310567</v>
      </c>
      <c r="E112" s="100">
        <f>'8.Cash Flow '!E25+'8.Cash Flow '!E26</f>
        <v>2750991.8449310563</v>
      </c>
      <c r="F112" s="100">
        <f>'8.Cash Flow '!F25+'8.Cash Flow '!F26</f>
        <v>2750991.8449310567</v>
      </c>
      <c r="G112" s="100">
        <f>'8.Cash Flow '!G25+'8.Cash Flow '!G26</f>
        <v>2750991.8449310558</v>
      </c>
      <c r="H112" s="100">
        <f>'8.Cash Flow '!H25+'8.Cash Flow '!H26</f>
        <v>2750991.8449310567</v>
      </c>
      <c r="I112" s="100">
        <f>'8.Cash Flow '!I25+'8.Cash Flow '!I26</f>
        <v>2750991.8449310563</v>
      </c>
    </row>
    <row r="113" spans="2:18">
      <c r="B113" s="95"/>
      <c r="C113" s="95"/>
      <c r="D113" s="95"/>
      <c r="E113" s="95"/>
      <c r="F113" s="95"/>
      <c r="G113" s="95"/>
      <c r="H113" s="95"/>
      <c r="I113" s="95"/>
    </row>
    <row r="114" spans="2:18">
      <c r="B114" s="101" t="s">
        <v>344</v>
      </c>
      <c r="C114" s="102">
        <f>C110/C112</f>
        <v>2.6722290169944065</v>
      </c>
      <c r="D114" s="102">
        <f t="shared" ref="D114:I114" si="12">D110/D112</f>
        <v>1.7839450014879417</v>
      </c>
      <c r="E114" s="102">
        <f t="shared" si="12"/>
        <v>1.8714496542608074</v>
      </c>
      <c r="F114" s="102">
        <f t="shared" si="12"/>
        <v>1.9661135688626961</v>
      </c>
      <c r="G114" s="102">
        <f t="shared" si="12"/>
        <v>2.0643757905706086</v>
      </c>
      <c r="H114" s="102">
        <f t="shared" si="12"/>
        <v>2.162675065470014</v>
      </c>
      <c r="I114" s="102">
        <f t="shared" si="12"/>
        <v>2.2677124062204839</v>
      </c>
    </row>
    <row r="115" spans="2:18">
      <c r="B115" s="94"/>
      <c r="C115" s="94"/>
      <c r="D115" s="94"/>
      <c r="E115" s="94"/>
      <c r="F115" s="94"/>
      <c r="G115" s="94"/>
      <c r="H115" s="94"/>
      <c r="I115" s="94"/>
    </row>
    <row r="116" spans="2:18">
      <c r="B116" s="94" t="s">
        <v>345</v>
      </c>
      <c r="C116" s="103">
        <f>AVERAGE(C114:I114)</f>
        <v>2.1126429291238513</v>
      </c>
      <c r="D116" s="94"/>
      <c r="E116" s="94"/>
      <c r="F116" s="94"/>
      <c r="G116" s="94"/>
      <c r="H116" s="94"/>
      <c r="I116" s="94"/>
    </row>
    <row r="118" spans="2:18" ht="29.45" customHeight="1">
      <c r="B118" s="432" t="s">
        <v>441</v>
      </c>
      <c r="C118" s="432"/>
      <c r="D118" s="432"/>
      <c r="E118" s="432"/>
      <c r="F118" s="432"/>
      <c r="G118" s="432"/>
      <c r="H118" s="432"/>
      <c r="I118" s="432"/>
      <c r="J118" s="432"/>
    </row>
    <row r="120" spans="2:18" ht="21">
      <c r="B120" s="462" t="s">
        <v>586</v>
      </c>
      <c r="C120" s="463"/>
      <c r="D120" s="463"/>
      <c r="E120" s="463"/>
      <c r="F120" s="463"/>
      <c r="G120" s="463"/>
      <c r="H120" s="463"/>
      <c r="I120" s="463"/>
      <c r="K120" s="464"/>
      <c r="L120" s="464"/>
      <c r="M120" s="464"/>
      <c r="N120" s="464"/>
      <c r="O120" s="464"/>
      <c r="P120" s="464"/>
      <c r="Q120" s="464"/>
      <c r="R120" s="464"/>
    </row>
    <row r="121" spans="2:18">
      <c r="B121" s="82" t="s">
        <v>359</v>
      </c>
      <c r="C121" s="83" t="s">
        <v>2</v>
      </c>
      <c r="D121" s="83" t="s">
        <v>3</v>
      </c>
      <c r="E121" s="83" t="s">
        <v>4</v>
      </c>
      <c r="F121" s="83" t="s">
        <v>5</v>
      </c>
      <c r="G121" s="83" t="s">
        <v>6</v>
      </c>
      <c r="H121" s="83" t="s">
        <v>171</v>
      </c>
      <c r="I121" s="83" t="s">
        <v>170</v>
      </c>
    </row>
    <row r="122" spans="2:18">
      <c r="B122" s="74" t="str">
        <f>'6.Cons Profit &amp; Loss'!A8</f>
        <v>Faclitiy 1 - Cleaning &amp; Grading</v>
      </c>
      <c r="C122" s="339">
        <f>'6.Cons Profit &amp; Loss'!B8*(1+$M$123)</f>
        <v>12436168.673250001</v>
      </c>
      <c r="D122" s="339">
        <f>'6.Cons Profit &amp; Loss'!C8*(1+$M$123)</f>
        <v>15046699.463066256</v>
      </c>
      <c r="E122" s="339">
        <f>'6.Cons Profit &amp; Loss'!D8*(1+$M$123)</f>
        <v>17241829.12021894</v>
      </c>
      <c r="F122" s="339">
        <f>'6.Cons Profit &amp; Loss'!E8*(1+$M$123)</f>
        <v>19618854.994429234</v>
      </c>
      <c r="G122" s="339">
        <f>'6.Cons Profit &amp; Loss'!F8*(1+$M$123)</f>
        <v>22190478.883260012</v>
      </c>
      <c r="H122" s="339">
        <f>'6.Cons Profit &amp; Loss'!G8*(1+$M$123)</f>
        <v>24970218.023487791</v>
      </c>
      <c r="I122" s="339">
        <f>'6.Cons Profit &amp; Loss'!H8*(1+$M$123)</f>
        <v>27972454.880530197</v>
      </c>
    </row>
    <row r="123" spans="2:18">
      <c r="B123" s="74" t="str">
        <f>'6.Cons Profit &amp; Loss'!A9</f>
        <v>Faclitiy 2 - Processing Unit- Dal Mill</v>
      </c>
      <c r="C123" s="339">
        <f>'6.Cons Profit &amp; Loss'!B9*(1+$M$123)</f>
        <v>6531227.6399999997</v>
      </c>
      <c r="D123" s="339">
        <f>'6.Cons Profit &amp; Loss'!C9*(1+$M$123)</f>
        <v>7721159.6385000013</v>
      </c>
      <c r="E123" s="339">
        <f>'6.Cons Profit &amp; Loss'!D9*(1+$M$123)</f>
        <v>8732814.3771750014</v>
      </c>
      <c r="F123" s="339">
        <f>'6.Cons Profit &amp; Loss'!E9*(1+$M$123)</f>
        <v>9826331.690621255</v>
      </c>
      <c r="G123" s="339">
        <f>'6.Cons Profit &amp; Loss'!F9*(1+$M$123)</f>
        <v>11007368.699469194</v>
      </c>
      <c r="H123" s="339">
        <f>'6.Cons Profit &amp; Loss'!G9*(1+$M$123)</f>
        <v>12281943.579975374</v>
      </c>
      <c r="I123" s="339">
        <f>'6.Cons Profit &amp; Loss'!H9*(1+$M$123)</f>
        <v>13656457.526783496</v>
      </c>
      <c r="L123" s="5" t="s">
        <v>380</v>
      </c>
      <c r="M123" s="279">
        <v>0.05</v>
      </c>
    </row>
    <row r="124" spans="2:18">
      <c r="B124" s="74" t="str">
        <f>'6.Cons Profit &amp; Loss'!A10</f>
        <v>Faclitiy 3 - Warehouse</v>
      </c>
      <c r="C124" s="339">
        <f>'6.Cons Profit &amp; Loss'!B10*(1+$M$123)</f>
        <v>0</v>
      </c>
      <c r="D124" s="339">
        <f>'6.Cons Profit &amp; Loss'!C10*(1+$M$123)</f>
        <v>0</v>
      </c>
      <c r="E124" s="339">
        <f>'6.Cons Profit &amp; Loss'!D10*(1+$M$123)</f>
        <v>0</v>
      </c>
      <c r="F124" s="339">
        <f>'6.Cons Profit &amp; Loss'!E10*(1+$M$123)</f>
        <v>0</v>
      </c>
      <c r="G124" s="339">
        <f>'6.Cons Profit &amp; Loss'!F10*(1+$M$123)</f>
        <v>0</v>
      </c>
      <c r="H124" s="339">
        <f>'6.Cons Profit &amp; Loss'!G10*(1+$M$123)</f>
        <v>0</v>
      </c>
      <c r="I124" s="339">
        <f>'6.Cons Profit &amp; Loss'!H10*(1+$M$123)</f>
        <v>0</v>
      </c>
      <c r="L124" s="5" t="s">
        <v>381</v>
      </c>
      <c r="M124" s="279">
        <v>0.05</v>
      </c>
    </row>
    <row r="125" spans="2:18">
      <c r="B125" s="74" t="str">
        <f>'6.Cons Profit &amp; Loss'!A11</f>
        <v xml:space="preserve">Faclitiy 4 - Custom Hiring </v>
      </c>
      <c r="C125" s="339">
        <f>'6.Cons Profit &amp; Loss'!B11*(1+$M$123)</f>
        <v>5462499</v>
      </c>
      <c r="D125" s="339">
        <f>'6.Cons Profit &amp; Loss'!C11*(1+$M$123)</f>
        <v>5741400</v>
      </c>
      <c r="E125" s="339">
        <f>'6.Cons Profit &amp; Loss'!D11*(1+$M$123)</f>
        <v>6019654.2000000002</v>
      </c>
      <c r="F125" s="339">
        <f>'6.Cons Profit &amp; Loss'!E11*(1+$M$123)</f>
        <v>6321026.2500000009</v>
      </c>
      <c r="G125" s="339">
        <f>'6.Cons Profit &amp; Loss'!F11*(1+$M$123)</f>
        <v>6636664.1250000009</v>
      </c>
      <c r="H125" s="339">
        <f>'6.Cons Profit &amp; Loss'!G11*(1+$M$123)</f>
        <v>6968497.3312500017</v>
      </c>
      <c r="I125" s="339">
        <f>'6.Cons Profit &amp; Loss'!H11*(1+$M$123)</f>
        <v>7316922.1978125032</v>
      </c>
    </row>
    <row r="126" spans="2:18">
      <c r="B126" s="74" t="str">
        <f>'6.Cons Profit &amp; Loss'!A12</f>
        <v>Faclitiy 5 - Agri Input Centre</v>
      </c>
      <c r="C126" s="339">
        <f>'6.Cons Profit &amp; Loss'!B12*(1+$M$123)</f>
        <v>0</v>
      </c>
      <c r="D126" s="339">
        <f>'6.Cons Profit &amp; Loss'!C12*(1+$M$123)</f>
        <v>0</v>
      </c>
      <c r="E126" s="339">
        <f>'6.Cons Profit &amp; Loss'!D12*(1+$M$123)</f>
        <v>0</v>
      </c>
      <c r="F126" s="339">
        <f>'6.Cons Profit &amp; Loss'!E12*(1+$M$123)</f>
        <v>0</v>
      </c>
      <c r="G126" s="339">
        <f>'6.Cons Profit &amp; Loss'!F12*(1+$M$123)</f>
        <v>0</v>
      </c>
      <c r="H126" s="339">
        <f>'6.Cons Profit &amp; Loss'!G12*(1+$M$123)</f>
        <v>0</v>
      </c>
      <c r="I126" s="339">
        <f>'6.Cons Profit &amp; Loss'!H12*(1+$M$123)</f>
        <v>0</v>
      </c>
    </row>
    <row r="127" spans="2:18">
      <c r="B127" s="74" t="str">
        <f>'6.Cons Profit &amp; Loss'!A13</f>
        <v>Facility 6 - Processing Unit - Horti Commodity</v>
      </c>
      <c r="C127" s="339">
        <f>'6.Cons Profit &amp; Loss'!B13*(1+$M$123)</f>
        <v>0</v>
      </c>
      <c r="D127" s="339">
        <f>'6.Cons Profit &amp; Loss'!C13*(1+$M$123)</f>
        <v>0</v>
      </c>
      <c r="E127" s="339">
        <f>'6.Cons Profit &amp; Loss'!D13*(1+$M$123)</f>
        <v>0</v>
      </c>
      <c r="F127" s="339">
        <f>'6.Cons Profit &amp; Loss'!E13*(1+$M$123)</f>
        <v>0</v>
      </c>
      <c r="G127" s="339">
        <f>'6.Cons Profit &amp; Loss'!F13*(1+$M$123)</f>
        <v>0</v>
      </c>
      <c r="H127" s="339">
        <f>'6.Cons Profit &amp; Loss'!G13*(1+$M$123)</f>
        <v>0</v>
      </c>
      <c r="I127" s="339">
        <f>'6.Cons Profit &amp; Loss'!H13*(1+$M$123)</f>
        <v>0</v>
      </c>
    </row>
    <row r="128" spans="2:18">
      <c r="B128" s="74">
        <f>'6.Cons Profit &amp; Loss'!A14</f>
        <v>0</v>
      </c>
      <c r="C128" s="339">
        <f>'6.Cons Profit &amp; Loss'!B14*(1+$M$123)</f>
        <v>0</v>
      </c>
      <c r="D128" s="339">
        <f>'6.Cons Profit &amp; Loss'!C14*(1+$M$123)</f>
        <v>0</v>
      </c>
      <c r="E128" s="339">
        <f>'6.Cons Profit &amp; Loss'!D14*(1+$M$123)</f>
        <v>0</v>
      </c>
      <c r="F128" s="339">
        <f>'6.Cons Profit &amp; Loss'!E14*(1+$M$123)</f>
        <v>0</v>
      </c>
      <c r="G128" s="339">
        <f>'6.Cons Profit &amp; Loss'!F14*(1+$M$123)</f>
        <v>0</v>
      </c>
      <c r="H128" s="339">
        <f>'6.Cons Profit &amp; Loss'!G14*(1+$M$123)</f>
        <v>0</v>
      </c>
      <c r="I128" s="339">
        <f>'6.Cons Profit &amp; Loss'!H14*(1+$M$123)</f>
        <v>0</v>
      </c>
    </row>
    <row r="129" spans="2:9">
      <c r="B129" s="74" t="s">
        <v>360</v>
      </c>
      <c r="C129" s="339">
        <f>SUM(C122:C128)</f>
        <v>24429895.313250002</v>
      </c>
      <c r="D129" s="339">
        <f t="shared" ref="D129:I129" si="13">SUM(D122:D128)</f>
        <v>28509259.101566255</v>
      </c>
      <c r="E129" s="339">
        <f t="shared" si="13"/>
        <v>31994297.697393943</v>
      </c>
      <c r="F129" s="339">
        <f t="shared" si="13"/>
        <v>35766212.935050488</v>
      </c>
      <c r="G129" s="339">
        <f t="shared" si="13"/>
        <v>39834511.707729205</v>
      </c>
      <c r="H129" s="339">
        <f t="shared" si="13"/>
        <v>44220658.93471317</v>
      </c>
      <c r="I129" s="339">
        <f t="shared" si="13"/>
        <v>48945834.605126195</v>
      </c>
    </row>
    <row r="130" spans="2:9">
      <c r="B130" s="74" t="s">
        <v>361</v>
      </c>
      <c r="C130" s="339"/>
      <c r="D130" s="339"/>
      <c r="E130" s="339"/>
      <c r="F130" s="339"/>
      <c r="G130" s="339"/>
      <c r="H130" s="339"/>
      <c r="I130" s="339"/>
    </row>
    <row r="131" spans="2:9">
      <c r="B131" s="74" t="s">
        <v>362</v>
      </c>
      <c r="C131" s="339">
        <f>'6.Cons Profit &amp; Loss'!B36</f>
        <v>1572000</v>
      </c>
      <c r="D131" s="339">
        <f>'6.Cons Profit &amp; Loss'!C36</f>
        <v>1650600</v>
      </c>
      <c r="E131" s="339">
        <f>'6.Cons Profit &amp; Loss'!D36</f>
        <v>1733130</v>
      </c>
      <c r="F131" s="339">
        <f>'6.Cons Profit &amp; Loss'!E36</f>
        <v>1819786.5000000005</v>
      </c>
      <c r="G131" s="339">
        <f>'6.Cons Profit &amp; Loss'!F36</f>
        <v>1910775.8250000004</v>
      </c>
      <c r="H131" s="339">
        <f>'6.Cons Profit &amp; Loss'!G36</f>
        <v>2006314.6162500004</v>
      </c>
      <c r="I131" s="339">
        <f>'6.Cons Profit &amp; Loss'!H36</f>
        <v>2106630.3470625007</v>
      </c>
    </row>
    <row r="132" spans="2:9">
      <c r="B132" s="74" t="s">
        <v>316</v>
      </c>
      <c r="C132" s="339">
        <f>'6.Cons Profit &amp; Loss'!B25*(1+M123)</f>
        <v>19583456.105692502</v>
      </c>
      <c r="D132" s="339">
        <f>'6.Cons Profit &amp; Loss'!C25*(1+N123)</f>
        <v>21813938.530786753</v>
      </c>
      <c r="E132" s="339">
        <f>'6.Cons Profit &amp; Loss'!D25*(1+O123)</f>
        <v>24533275.479138304</v>
      </c>
      <c r="F132" s="339">
        <f>'6.Cons Profit &amp; Loss'!E25*(1+P123)</f>
        <v>27470011.275998045</v>
      </c>
      <c r="G132" s="339">
        <f>'6.Cons Profit &amp; Loss'!F25*(1+Q123)</f>
        <v>30639087.46384592</v>
      </c>
      <c r="H132" s="339">
        <f>'6.Cons Profit &amp; Loss'!G25*(1+R123)</f>
        <v>34056396.242288582</v>
      </c>
      <c r="I132" s="339">
        <f>'6.Cons Profit &amp; Loss'!H25*(1+S123)</f>
        <v>37738838.179915898</v>
      </c>
    </row>
    <row r="133" spans="2:9">
      <c r="B133" s="74" t="s">
        <v>363</v>
      </c>
      <c r="C133" s="339">
        <f t="shared" ref="C133:I133" si="14">SUM(C131:C132)</f>
        <v>21155456.105692502</v>
      </c>
      <c r="D133" s="339">
        <f t="shared" si="14"/>
        <v>23464538.530786753</v>
      </c>
      <c r="E133" s="339">
        <f t="shared" si="14"/>
        <v>26266405.479138304</v>
      </c>
      <c r="F133" s="339">
        <f t="shared" si="14"/>
        <v>29289797.775998045</v>
      </c>
      <c r="G133" s="339">
        <f t="shared" si="14"/>
        <v>32549863.288845919</v>
      </c>
      <c r="H133" s="339">
        <f t="shared" si="14"/>
        <v>36062710.858538583</v>
      </c>
      <c r="I133" s="339">
        <f t="shared" si="14"/>
        <v>39845468.526978396</v>
      </c>
    </row>
    <row r="134" spans="2:9">
      <c r="B134" s="77" t="s">
        <v>364</v>
      </c>
      <c r="C134" s="341">
        <f t="shared" ref="C134:I134" si="15">+C129-C133</f>
        <v>3274439.2075574994</v>
      </c>
      <c r="D134" s="341">
        <f t="shared" si="15"/>
        <v>5044720.5707795024</v>
      </c>
      <c r="E134" s="341">
        <f t="shared" si="15"/>
        <v>5727892.2182556391</v>
      </c>
      <c r="F134" s="341">
        <f t="shared" si="15"/>
        <v>6476415.1590524428</v>
      </c>
      <c r="G134" s="341">
        <f t="shared" si="15"/>
        <v>7284648.4188832864</v>
      </c>
      <c r="H134" s="341">
        <f t="shared" si="15"/>
        <v>8157948.076174587</v>
      </c>
      <c r="I134" s="341">
        <f t="shared" si="15"/>
        <v>9100366.0781477988</v>
      </c>
    </row>
    <row r="135" spans="2:9">
      <c r="B135" s="79"/>
      <c r="C135" s="80"/>
      <c r="D135" s="80"/>
      <c r="E135" s="80"/>
      <c r="F135" s="80"/>
      <c r="G135" s="80"/>
      <c r="H135" s="80"/>
      <c r="I135" s="80"/>
    </row>
    <row r="136" spans="2:9">
      <c r="B136" s="82" t="s">
        <v>365</v>
      </c>
      <c r="C136" s="83" t="s">
        <v>2</v>
      </c>
      <c r="D136" s="83" t="s">
        <v>3</v>
      </c>
      <c r="E136" s="83" t="s">
        <v>4</v>
      </c>
      <c r="F136" s="83" t="s">
        <v>5</v>
      </c>
      <c r="G136" s="83" t="s">
        <v>6</v>
      </c>
      <c r="H136" s="83" t="s">
        <v>171</v>
      </c>
      <c r="I136" s="83" t="s">
        <v>170</v>
      </c>
    </row>
    <row r="137" spans="2:9">
      <c r="B137" s="74" t="str">
        <f t="shared" ref="B137:B143" si="16">B122</f>
        <v>Faclitiy 1 - Cleaning &amp; Grading</v>
      </c>
      <c r="C137" s="76">
        <f>'6.Cons Profit &amp; Loss'!B8</f>
        <v>11843970.165000001</v>
      </c>
      <c r="D137" s="76">
        <f>'6.Cons Profit &amp; Loss'!C8</f>
        <v>14330189.964825004</v>
      </c>
      <c r="E137" s="76">
        <f>'6.Cons Profit &amp; Loss'!D8</f>
        <v>16420789.638303751</v>
      </c>
      <c r="F137" s="76">
        <f>'6.Cons Profit &amp; Loss'!E8</f>
        <v>18684623.804218318</v>
      </c>
      <c r="G137" s="76">
        <f>'6.Cons Profit &amp; Loss'!F8</f>
        <v>21133789.41262858</v>
      </c>
      <c r="H137" s="76">
        <f>'6.Cons Profit &amp; Loss'!G8</f>
        <v>23781160.022369325</v>
      </c>
      <c r="I137" s="76">
        <f>'6.Cons Profit &amp; Loss'!H8</f>
        <v>26640433.219552569</v>
      </c>
    </row>
    <row r="138" spans="2:9">
      <c r="B138" s="74" t="str">
        <f t="shared" si="16"/>
        <v>Faclitiy 2 - Processing Unit- Dal Mill</v>
      </c>
      <c r="C138" s="76">
        <f>'6.Cons Profit &amp; Loss'!B9</f>
        <v>6220216.7999999998</v>
      </c>
      <c r="D138" s="76">
        <f>'6.Cons Profit &amp; Loss'!C9</f>
        <v>7353485.370000001</v>
      </c>
      <c r="E138" s="76">
        <f>'6.Cons Profit &amp; Loss'!D9</f>
        <v>8316966.0735000009</v>
      </c>
      <c r="F138" s="76">
        <f>'6.Cons Profit &amp; Loss'!E9</f>
        <v>9358411.1339250039</v>
      </c>
      <c r="G138" s="76">
        <f>'6.Cons Profit &amp; Loss'!F9</f>
        <v>10483208.285208756</v>
      </c>
      <c r="H138" s="76">
        <f>'6.Cons Profit &amp; Loss'!G9</f>
        <v>11697089.123786069</v>
      </c>
      <c r="I138" s="76">
        <f>'6.Cons Profit &amp; Loss'!H9</f>
        <v>13006150.025508091</v>
      </c>
    </row>
    <row r="139" spans="2:9">
      <c r="B139" s="74" t="str">
        <f t="shared" si="16"/>
        <v>Faclitiy 3 - Warehouse</v>
      </c>
      <c r="C139" s="76">
        <f>'6.Cons Profit &amp; Loss'!B10</f>
        <v>0</v>
      </c>
      <c r="D139" s="76">
        <f>'6.Cons Profit &amp; Loss'!C10</f>
        <v>0</v>
      </c>
      <c r="E139" s="76">
        <f>'6.Cons Profit &amp; Loss'!D10</f>
        <v>0</v>
      </c>
      <c r="F139" s="76">
        <f>'6.Cons Profit &amp; Loss'!E10</f>
        <v>0</v>
      </c>
      <c r="G139" s="76">
        <f>'6.Cons Profit &amp; Loss'!F10</f>
        <v>0</v>
      </c>
      <c r="H139" s="76">
        <f>'6.Cons Profit &amp; Loss'!G10</f>
        <v>0</v>
      </c>
      <c r="I139" s="76">
        <f>'6.Cons Profit &amp; Loss'!H10</f>
        <v>0</v>
      </c>
    </row>
    <row r="140" spans="2:9">
      <c r="B140" s="74" t="str">
        <f t="shared" si="16"/>
        <v xml:space="preserve">Faclitiy 4 - Custom Hiring </v>
      </c>
      <c r="C140" s="76">
        <f>'6.Cons Profit &amp; Loss'!B11</f>
        <v>5202380</v>
      </c>
      <c r="D140" s="76">
        <f>'6.Cons Profit &amp; Loss'!C11</f>
        <v>5468000</v>
      </c>
      <c r="E140" s="76">
        <f>'6.Cons Profit &amp; Loss'!D11</f>
        <v>5733004</v>
      </c>
      <c r="F140" s="76">
        <f>'6.Cons Profit &amp; Loss'!E11</f>
        <v>6020025.0000000009</v>
      </c>
      <c r="G140" s="76">
        <f>'6.Cons Profit &amp; Loss'!F11</f>
        <v>6320632.5000000009</v>
      </c>
      <c r="H140" s="76">
        <f>'6.Cons Profit &amp; Loss'!G11</f>
        <v>6636664.1250000009</v>
      </c>
      <c r="I140" s="76">
        <f>'6.Cons Profit &amp; Loss'!H11</f>
        <v>6968497.3312500026</v>
      </c>
    </row>
    <row r="141" spans="2:9">
      <c r="B141" s="74" t="str">
        <f t="shared" si="16"/>
        <v>Faclitiy 5 - Agri Input Centre</v>
      </c>
      <c r="C141" s="76">
        <f>'6.Cons Profit &amp; Loss'!B12</f>
        <v>0</v>
      </c>
      <c r="D141" s="76">
        <f>'6.Cons Profit &amp; Loss'!C12</f>
        <v>0</v>
      </c>
      <c r="E141" s="76">
        <f>'6.Cons Profit &amp; Loss'!D12</f>
        <v>0</v>
      </c>
      <c r="F141" s="76">
        <f>'6.Cons Profit &amp; Loss'!E12</f>
        <v>0</v>
      </c>
      <c r="G141" s="76">
        <f>'6.Cons Profit &amp; Loss'!F12</f>
        <v>0</v>
      </c>
      <c r="H141" s="76">
        <f>'6.Cons Profit &amp; Loss'!G12</f>
        <v>0</v>
      </c>
      <c r="I141" s="76">
        <f>'6.Cons Profit &amp; Loss'!H12</f>
        <v>0</v>
      </c>
    </row>
    <row r="142" spans="2:9">
      <c r="B142" s="74" t="str">
        <f t="shared" si="16"/>
        <v>Facility 6 - Processing Unit - Horti Commodity</v>
      </c>
      <c r="C142" s="76">
        <f>'6.Cons Profit &amp; Loss'!B13</f>
        <v>0</v>
      </c>
      <c r="D142" s="76">
        <f>'6.Cons Profit &amp; Loss'!C13</f>
        <v>0</v>
      </c>
      <c r="E142" s="76">
        <f>'6.Cons Profit &amp; Loss'!D13</f>
        <v>0</v>
      </c>
      <c r="F142" s="76">
        <f>'6.Cons Profit &amp; Loss'!E13</f>
        <v>0</v>
      </c>
      <c r="G142" s="76">
        <f>'6.Cons Profit &amp; Loss'!F13</f>
        <v>0</v>
      </c>
      <c r="H142" s="76">
        <f>'6.Cons Profit &amp; Loss'!G13</f>
        <v>0</v>
      </c>
      <c r="I142" s="76">
        <f>'6.Cons Profit &amp; Loss'!H13</f>
        <v>0</v>
      </c>
    </row>
    <row r="143" spans="2:9">
      <c r="B143" s="74">
        <f t="shared" si="16"/>
        <v>0</v>
      </c>
      <c r="C143" s="76">
        <f>'6.Cons Profit &amp; Loss'!B14</f>
        <v>0</v>
      </c>
      <c r="D143" s="76">
        <f>'6.Cons Profit &amp; Loss'!C14</f>
        <v>0</v>
      </c>
      <c r="E143" s="76">
        <f>'6.Cons Profit &amp; Loss'!D14</f>
        <v>0</v>
      </c>
      <c r="F143" s="76">
        <f>'6.Cons Profit &amp; Loss'!E14</f>
        <v>0</v>
      </c>
      <c r="G143" s="76">
        <f>'6.Cons Profit &amp; Loss'!F14</f>
        <v>0</v>
      </c>
      <c r="H143" s="76">
        <f>'6.Cons Profit &amp; Loss'!G14</f>
        <v>0</v>
      </c>
      <c r="I143" s="76">
        <f>'6.Cons Profit &amp; Loss'!H14</f>
        <v>0</v>
      </c>
    </row>
    <row r="144" spans="2:9">
      <c r="B144" s="74" t="s">
        <v>360</v>
      </c>
      <c r="C144" s="76">
        <f>SUM(C137:C143)</f>
        <v>23266566.965</v>
      </c>
      <c r="D144" s="76">
        <f t="shared" ref="D144:I144" si="17">SUM(D137:D143)</f>
        <v>27151675.334825005</v>
      </c>
      <c r="E144" s="76">
        <f t="shared" si="17"/>
        <v>30470759.711803753</v>
      </c>
      <c r="F144" s="76">
        <f t="shared" si="17"/>
        <v>34063059.93814332</v>
      </c>
      <c r="G144" s="76">
        <f t="shared" si="17"/>
        <v>37937630.197837338</v>
      </c>
      <c r="H144" s="76">
        <f t="shared" si="17"/>
        <v>42114913.271155395</v>
      </c>
      <c r="I144" s="76">
        <f t="shared" si="17"/>
        <v>46615080.576310664</v>
      </c>
    </row>
    <row r="145" spans="2:15">
      <c r="B145" s="74" t="s">
        <v>361</v>
      </c>
      <c r="C145" s="81"/>
      <c r="D145" s="76"/>
      <c r="E145" s="76"/>
      <c r="F145" s="76"/>
      <c r="G145" s="76"/>
      <c r="H145" s="76"/>
      <c r="I145" s="76"/>
    </row>
    <row r="146" spans="2:15">
      <c r="B146" s="74" t="s">
        <v>362</v>
      </c>
      <c r="C146" s="75">
        <f>'6.Cons Profit &amp; Loss'!B36</f>
        <v>1572000</v>
      </c>
      <c r="D146" s="75">
        <f>'6.Cons Profit &amp; Loss'!C36</f>
        <v>1650600</v>
      </c>
      <c r="E146" s="75">
        <f>'6.Cons Profit &amp; Loss'!D36</f>
        <v>1733130</v>
      </c>
      <c r="F146" s="75">
        <f>'6.Cons Profit &amp; Loss'!E36</f>
        <v>1819786.5000000005</v>
      </c>
      <c r="G146" s="75">
        <f>'6.Cons Profit &amp; Loss'!F36</f>
        <v>1910775.8250000004</v>
      </c>
      <c r="H146" s="75">
        <f>'6.Cons Profit &amp; Loss'!G36</f>
        <v>2006314.6162500004</v>
      </c>
      <c r="I146" s="75">
        <f>'6.Cons Profit &amp; Loss'!H36</f>
        <v>2106630.3470625007</v>
      </c>
    </row>
    <row r="147" spans="2:15">
      <c r="B147" s="74" t="s">
        <v>316</v>
      </c>
      <c r="C147" s="75">
        <f>'6.Cons Profit &amp; Loss'!B25*(1+$M$124)</f>
        <v>19583456.105692502</v>
      </c>
      <c r="D147" s="75">
        <f>'6.Cons Profit &amp; Loss'!C25*(1+$M$124)</f>
        <v>22904635.457326092</v>
      </c>
      <c r="E147" s="75">
        <f>'6.Cons Profit &amp; Loss'!D25*(1+$M$124)</f>
        <v>25759939.253095221</v>
      </c>
      <c r="F147" s="75">
        <f>'6.Cons Profit &amp; Loss'!E25*(1+$M$124)</f>
        <v>28843511.839797948</v>
      </c>
      <c r="G147" s="75">
        <f>'6.Cons Profit &amp; Loss'!F25*(1+$M$124)</f>
        <v>32171041.837038219</v>
      </c>
      <c r="H147" s="75">
        <f>'6.Cons Profit &amp; Loss'!G25*(1+$M$124)</f>
        <v>35759216.054403014</v>
      </c>
      <c r="I147" s="75">
        <f>'6.Cons Profit &amp; Loss'!H25*(1+$M$124)</f>
        <v>39625780.088911697</v>
      </c>
    </row>
    <row r="148" spans="2:15">
      <c r="B148" s="74" t="s">
        <v>363</v>
      </c>
      <c r="C148" s="75">
        <f t="shared" ref="C148:I148" si="18">SUM(C146:C147)</f>
        <v>21155456.105692502</v>
      </c>
      <c r="D148" s="75">
        <f t="shared" si="18"/>
        <v>24555235.457326092</v>
      </c>
      <c r="E148" s="75">
        <f t="shared" si="18"/>
        <v>27493069.253095221</v>
      </c>
      <c r="F148" s="75">
        <f t="shared" si="18"/>
        <v>30663298.339797948</v>
      </c>
      <c r="G148" s="75">
        <f t="shared" si="18"/>
        <v>34081817.662038222</v>
      </c>
      <c r="H148" s="75">
        <f t="shared" si="18"/>
        <v>37765530.670653015</v>
      </c>
      <c r="I148" s="75">
        <f t="shared" si="18"/>
        <v>41732410.435974196</v>
      </c>
    </row>
    <row r="149" spans="2:15">
      <c r="B149" s="77" t="s">
        <v>364</v>
      </c>
      <c r="C149" s="78">
        <f t="shared" ref="C149:I149" si="19">+C144-C148</f>
        <v>2111110.8593074977</v>
      </c>
      <c r="D149" s="78">
        <f t="shared" si="19"/>
        <v>2596439.8774989136</v>
      </c>
      <c r="E149" s="78">
        <f t="shared" si="19"/>
        <v>2977690.4587085322</v>
      </c>
      <c r="F149" s="78">
        <f t="shared" si="19"/>
        <v>3399761.5983453728</v>
      </c>
      <c r="G149" s="78">
        <f t="shared" si="19"/>
        <v>3855812.5357991159</v>
      </c>
      <c r="H149" s="78">
        <f t="shared" si="19"/>
        <v>4349382.6005023792</v>
      </c>
      <c r="I149" s="78">
        <f t="shared" si="19"/>
        <v>4882670.1403364688</v>
      </c>
      <c r="N149" s="4"/>
      <c r="O149" s="6"/>
    </row>
    <row r="150" spans="2:15">
      <c r="B150" s="79"/>
      <c r="C150" s="80"/>
      <c r="D150" s="80"/>
      <c r="E150" s="80"/>
      <c r="F150" s="80"/>
      <c r="G150" s="80"/>
      <c r="H150" s="80"/>
      <c r="I150" s="80"/>
    </row>
    <row r="151" spans="2:15">
      <c r="B151" s="82" t="s">
        <v>366</v>
      </c>
      <c r="C151" s="83" t="s">
        <v>2</v>
      </c>
      <c r="D151" s="83" t="s">
        <v>3</v>
      </c>
      <c r="E151" s="83" t="s">
        <v>4</v>
      </c>
      <c r="F151" s="83" t="s">
        <v>5</v>
      </c>
      <c r="G151" s="83" t="s">
        <v>6</v>
      </c>
      <c r="H151" s="83" t="s">
        <v>171</v>
      </c>
      <c r="I151" s="83" t="s">
        <v>170</v>
      </c>
    </row>
    <row r="152" spans="2:15">
      <c r="B152" s="74" t="str">
        <f t="shared" ref="B152:B158" si="20">B137</f>
        <v>Faclitiy 1 - Cleaning &amp; Grading</v>
      </c>
      <c r="C152" s="339">
        <f>'6.Cons Profit &amp; Loss'!B8*(1-$M$123)</f>
        <v>11251771.656750001</v>
      </c>
      <c r="D152" s="339">
        <f>'6.Cons Profit &amp; Loss'!C8*(1-$M$123)</f>
        <v>13613680.466583753</v>
      </c>
      <c r="E152" s="339">
        <f>'6.Cons Profit &amp; Loss'!D8*(1-$M$123)</f>
        <v>15599750.156388562</v>
      </c>
      <c r="F152" s="339">
        <f>'6.Cons Profit &amp; Loss'!E8*(1-$M$123)</f>
        <v>17750392.614007402</v>
      </c>
      <c r="G152" s="339">
        <f>'6.Cons Profit &amp; Loss'!F8*(1-$M$123)</f>
        <v>20077099.941997148</v>
      </c>
      <c r="H152" s="339">
        <f>'6.Cons Profit &amp; Loss'!G8*(1-$M$123)</f>
        <v>22592102.021250859</v>
      </c>
      <c r="I152" s="339">
        <f>'6.Cons Profit &amp; Loss'!H8*(1-$M$123)</f>
        <v>25308411.558574941</v>
      </c>
    </row>
    <row r="153" spans="2:15">
      <c r="B153" s="74" t="str">
        <f t="shared" si="20"/>
        <v>Faclitiy 2 - Processing Unit- Dal Mill</v>
      </c>
      <c r="C153" s="339">
        <f>'6.Cons Profit &amp; Loss'!B9*(1-$M$123)</f>
        <v>5909205.96</v>
      </c>
      <c r="D153" s="339">
        <f>'6.Cons Profit &amp; Loss'!C9*(1-$M$123)</f>
        <v>6985811.1015000008</v>
      </c>
      <c r="E153" s="339">
        <f>'6.Cons Profit &amp; Loss'!D9*(1-$M$123)</f>
        <v>7901117.7698250003</v>
      </c>
      <c r="F153" s="339">
        <f>'6.Cons Profit &amp; Loss'!E9*(1-$M$123)</f>
        <v>8890490.5772287529</v>
      </c>
      <c r="G153" s="339">
        <f>'6.Cons Profit &amp; Loss'!F9*(1-$M$123)</f>
        <v>9959047.8709483184</v>
      </c>
      <c r="H153" s="339">
        <f>'6.Cons Profit &amp; Loss'!G9*(1-$M$123)</f>
        <v>11112234.667596765</v>
      </c>
      <c r="I153" s="339">
        <f>'6.Cons Profit &amp; Loss'!H9*(1-$M$123)</f>
        <v>12355842.524232686</v>
      </c>
    </row>
    <row r="154" spans="2:15">
      <c r="B154" s="74" t="str">
        <f t="shared" si="20"/>
        <v>Faclitiy 3 - Warehouse</v>
      </c>
      <c r="C154" s="339">
        <f>'6.Cons Profit &amp; Loss'!B10*(1-$M$123)</f>
        <v>0</v>
      </c>
      <c r="D154" s="339">
        <f>'6.Cons Profit &amp; Loss'!C10*(1-$M$123)</f>
        <v>0</v>
      </c>
      <c r="E154" s="339">
        <f>'6.Cons Profit &amp; Loss'!D10*(1-$M$123)</f>
        <v>0</v>
      </c>
      <c r="F154" s="339">
        <f>'6.Cons Profit &amp; Loss'!E10*(1-$M$123)</f>
        <v>0</v>
      </c>
      <c r="G154" s="339">
        <f>'6.Cons Profit &amp; Loss'!F10*(1-$M$123)</f>
        <v>0</v>
      </c>
      <c r="H154" s="339">
        <f>'6.Cons Profit &amp; Loss'!G10*(1-$M$123)</f>
        <v>0</v>
      </c>
      <c r="I154" s="339">
        <f>'6.Cons Profit &amp; Loss'!H10*(1-$M$123)</f>
        <v>0</v>
      </c>
    </row>
    <row r="155" spans="2:15">
      <c r="B155" s="74" t="str">
        <f t="shared" si="20"/>
        <v xml:space="preserve">Faclitiy 4 - Custom Hiring </v>
      </c>
      <c r="C155" s="339">
        <f>'6.Cons Profit &amp; Loss'!B11*(1-$M$123)</f>
        <v>4942261</v>
      </c>
      <c r="D155" s="339">
        <f>'6.Cons Profit &amp; Loss'!C11*(1-$M$123)</f>
        <v>5194600</v>
      </c>
      <c r="E155" s="339">
        <f>'6.Cons Profit &amp; Loss'!D11*(1-$M$123)</f>
        <v>5446353.7999999998</v>
      </c>
      <c r="F155" s="339">
        <f>'6.Cons Profit &amp; Loss'!E11*(1-$M$123)</f>
        <v>5719023.7500000009</v>
      </c>
      <c r="G155" s="339">
        <f>'6.Cons Profit &amp; Loss'!F11*(1-$M$123)</f>
        <v>6004600.8750000009</v>
      </c>
      <c r="H155" s="339">
        <f>'6.Cons Profit &amp; Loss'!G11*(1-$M$123)</f>
        <v>6304830.9187500002</v>
      </c>
      <c r="I155" s="339">
        <f>'6.Cons Profit &amp; Loss'!H11*(1-$M$123)</f>
        <v>6620072.464687502</v>
      </c>
    </row>
    <row r="156" spans="2:15">
      <c r="B156" s="74" t="str">
        <f t="shared" si="20"/>
        <v>Faclitiy 5 - Agri Input Centre</v>
      </c>
      <c r="C156" s="339">
        <f>'6.Cons Profit &amp; Loss'!B12*(1-$M$123)</f>
        <v>0</v>
      </c>
      <c r="D156" s="339">
        <f>'6.Cons Profit &amp; Loss'!C12*(1-$M$123)</f>
        <v>0</v>
      </c>
      <c r="E156" s="339">
        <f>'6.Cons Profit &amp; Loss'!D12*(1-$M$123)</f>
        <v>0</v>
      </c>
      <c r="F156" s="339">
        <f>'6.Cons Profit &amp; Loss'!E12*(1-$M$123)</f>
        <v>0</v>
      </c>
      <c r="G156" s="339">
        <f>'6.Cons Profit &amp; Loss'!F12*(1-$M$123)</f>
        <v>0</v>
      </c>
      <c r="H156" s="339">
        <f>'6.Cons Profit &amp; Loss'!G12*(1-$M$123)</f>
        <v>0</v>
      </c>
      <c r="I156" s="339">
        <f>'6.Cons Profit &amp; Loss'!H12*(1-$M$123)</f>
        <v>0</v>
      </c>
    </row>
    <row r="157" spans="2:15">
      <c r="B157" s="74" t="str">
        <f t="shared" si="20"/>
        <v>Facility 6 - Processing Unit - Horti Commodity</v>
      </c>
      <c r="C157" s="339">
        <f>'6.Cons Profit &amp; Loss'!B13*(1-$M$123)</f>
        <v>0</v>
      </c>
      <c r="D157" s="339">
        <f>'6.Cons Profit &amp; Loss'!C13*(1-$M$123)</f>
        <v>0</v>
      </c>
      <c r="E157" s="339">
        <f>'6.Cons Profit &amp; Loss'!D13*(1-$M$123)</f>
        <v>0</v>
      </c>
      <c r="F157" s="339">
        <f>'6.Cons Profit &amp; Loss'!E13*(1-$M$123)</f>
        <v>0</v>
      </c>
      <c r="G157" s="339">
        <f>'6.Cons Profit &amp; Loss'!F13*(1-$M$123)</f>
        <v>0</v>
      </c>
      <c r="H157" s="339">
        <f>'6.Cons Profit &amp; Loss'!G13*(1-$M$123)</f>
        <v>0</v>
      </c>
      <c r="I157" s="339">
        <f>'6.Cons Profit &amp; Loss'!H13*(1-$M$123)</f>
        <v>0</v>
      </c>
    </row>
    <row r="158" spans="2:15">
      <c r="B158" s="74">
        <f t="shared" si="20"/>
        <v>0</v>
      </c>
      <c r="C158" s="339">
        <f>'6.Cons Profit &amp; Loss'!B14*(1-$M$123)</f>
        <v>0</v>
      </c>
      <c r="D158" s="339">
        <f>'6.Cons Profit &amp; Loss'!C14*(1-$M$123)</f>
        <v>0</v>
      </c>
      <c r="E158" s="339">
        <f>'6.Cons Profit &amp; Loss'!D14*(1-$M$123)</f>
        <v>0</v>
      </c>
      <c r="F158" s="339">
        <f>'6.Cons Profit &amp; Loss'!E14*(1-$M$123)</f>
        <v>0</v>
      </c>
      <c r="G158" s="339">
        <f>'6.Cons Profit &amp; Loss'!F14*(1-$M$123)</f>
        <v>0</v>
      </c>
      <c r="H158" s="339">
        <f>'6.Cons Profit &amp; Loss'!G14*(1-$M$123)</f>
        <v>0</v>
      </c>
      <c r="I158" s="339">
        <f>'6.Cons Profit &amp; Loss'!H14*(1-$M$123)</f>
        <v>0</v>
      </c>
    </row>
    <row r="159" spans="2:15">
      <c r="B159" s="74" t="s">
        <v>360</v>
      </c>
      <c r="C159" s="339">
        <f>SUM(C152:C158)</f>
        <v>22103238.616750002</v>
      </c>
      <c r="D159" s="339">
        <f t="shared" ref="D159:I159" si="21">SUM(D152:D158)</f>
        <v>25794091.568083756</v>
      </c>
      <c r="E159" s="339">
        <f t="shared" si="21"/>
        <v>28947221.726213563</v>
      </c>
      <c r="F159" s="339">
        <f t="shared" si="21"/>
        <v>32359906.941236153</v>
      </c>
      <c r="G159" s="339">
        <f t="shared" si="21"/>
        <v>36040748.68794547</v>
      </c>
      <c r="H159" s="339">
        <f t="shared" si="21"/>
        <v>40009167.607597627</v>
      </c>
      <c r="I159" s="339">
        <f t="shared" si="21"/>
        <v>44284326.547495134</v>
      </c>
    </row>
    <row r="160" spans="2:15">
      <c r="B160" s="74" t="s">
        <v>361</v>
      </c>
      <c r="C160" s="339"/>
      <c r="D160" s="339"/>
      <c r="E160" s="339"/>
      <c r="F160" s="339"/>
      <c r="G160" s="339"/>
      <c r="H160" s="339"/>
      <c r="I160" s="339"/>
    </row>
    <row r="161" spans="2:9">
      <c r="B161" s="74" t="s">
        <v>362</v>
      </c>
      <c r="C161" s="339">
        <f>'6.Cons Profit &amp; Loss'!B36</f>
        <v>1572000</v>
      </c>
      <c r="D161" s="339">
        <f>'6.Cons Profit &amp; Loss'!C36</f>
        <v>1650600</v>
      </c>
      <c r="E161" s="339">
        <f>'6.Cons Profit &amp; Loss'!D36</f>
        <v>1733130</v>
      </c>
      <c r="F161" s="339">
        <f>'6.Cons Profit &amp; Loss'!E36</f>
        <v>1819786.5000000005</v>
      </c>
      <c r="G161" s="339">
        <f>'6.Cons Profit &amp; Loss'!F36</f>
        <v>1910775.8250000004</v>
      </c>
      <c r="H161" s="339">
        <f>'6.Cons Profit &amp; Loss'!G36</f>
        <v>2006314.6162500004</v>
      </c>
      <c r="I161" s="339">
        <f>'6.Cons Profit &amp; Loss'!H36</f>
        <v>2106630.3470625007</v>
      </c>
    </row>
    <row r="162" spans="2:9">
      <c r="B162" s="74" t="s">
        <v>316</v>
      </c>
      <c r="C162" s="339">
        <f>'6.Cons Profit &amp; Loss'!B25*(1-$M$123)</f>
        <v>17718365.048007499</v>
      </c>
      <c r="D162" s="339">
        <f>'6.Cons Profit &amp; Loss'!C25*(1-$M$123)</f>
        <v>20723241.604247414</v>
      </c>
      <c r="E162" s="339">
        <f>'6.Cons Profit &amp; Loss'!D25*(1-$M$123)</f>
        <v>23306611.705181386</v>
      </c>
      <c r="F162" s="339">
        <f>'6.Cons Profit &amp; Loss'!E25*(1-$M$123)</f>
        <v>26096510.712198142</v>
      </c>
      <c r="G162" s="339">
        <f>'6.Cons Profit &amp; Loss'!F25*(1-$M$123)</f>
        <v>29107133.090653621</v>
      </c>
      <c r="H162" s="339">
        <f>'6.Cons Profit &amp; Loss'!G25*(1-$M$123)</f>
        <v>32353576.43017415</v>
      </c>
      <c r="I162" s="339">
        <f>'6.Cons Profit &amp; Loss'!H25*(1-$M$123)</f>
        <v>35851896.270920098</v>
      </c>
    </row>
    <row r="163" spans="2:9">
      <c r="B163" s="74" t="s">
        <v>363</v>
      </c>
      <c r="C163" s="339">
        <f t="shared" ref="C163:I163" si="22">SUM(C161:C162)</f>
        <v>19290365.048007499</v>
      </c>
      <c r="D163" s="339">
        <f t="shared" si="22"/>
        <v>22373841.604247414</v>
      </c>
      <c r="E163" s="339">
        <f t="shared" si="22"/>
        <v>25039741.705181386</v>
      </c>
      <c r="F163" s="339">
        <f t="shared" si="22"/>
        <v>27916297.212198142</v>
      </c>
      <c r="G163" s="339">
        <f t="shared" si="22"/>
        <v>31017908.91565362</v>
      </c>
      <c r="H163" s="339">
        <f t="shared" si="22"/>
        <v>34359891.04642415</v>
      </c>
      <c r="I163" s="339">
        <f t="shared" si="22"/>
        <v>37958526.617982596</v>
      </c>
    </row>
    <row r="164" spans="2:9">
      <c r="B164" s="77" t="s">
        <v>364</v>
      </c>
      <c r="C164" s="341">
        <f t="shared" ref="C164:I164" si="23">+C159-C163</f>
        <v>2812873.5687425025</v>
      </c>
      <c r="D164" s="341">
        <f t="shared" si="23"/>
        <v>3420249.9638363421</v>
      </c>
      <c r="E164" s="341">
        <f t="shared" si="23"/>
        <v>3907480.0210321769</v>
      </c>
      <c r="F164" s="341">
        <f t="shared" si="23"/>
        <v>4443609.7290380113</v>
      </c>
      <c r="G164" s="341">
        <f t="shared" si="23"/>
        <v>5022839.7722918503</v>
      </c>
      <c r="H164" s="341">
        <f t="shared" si="23"/>
        <v>5649276.5611734763</v>
      </c>
      <c r="I164" s="341">
        <f t="shared" si="23"/>
        <v>6325799.929512538</v>
      </c>
    </row>
    <row r="165" spans="2:9">
      <c r="B165" s="13"/>
      <c r="C165" s="80"/>
      <c r="D165" s="80"/>
      <c r="E165" s="80"/>
      <c r="F165" s="80"/>
      <c r="G165" s="80"/>
      <c r="H165" s="80"/>
      <c r="I165" s="80"/>
    </row>
    <row r="166" spans="2:9">
      <c r="B166" s="82" t="s">
        <v>367</v>
      </c>
      <c r="C166" s="83" t="s">
        <v>2</v>
      </c>
      <c r="D166" s="83" t="s">
        <v>3</v>
      </c>
      <c r="E166" s="83" t="s">
        <v>4</v>
      </c>
      <c r="F166" s="83" t="s">
        <v>5</v>
      </c>
      <c r="G166" s="83" t="s">
        <v>6</v>
      </c>
      <c r="H166" s="83" t="s">
        <v>171</v>
      </c>
      <c r="I166" s="83" t="s">
        <v>170</v>
      </c>
    </row>
    <row r="167" spans="2:9">
      <c r="B167" s="74" t="str">
        <f t="shared" ref="B167:B173" si="24">B152</f>
        <v>Faclitiy 1 - Cleaning &amp; Grading</v>
      </c>
      <c r="C167" s="76">
        <f>'6.Cons Profit &amp; Loss'!B8</f>
        <v>11843970.165000001</v>
      </c>
      <c r="D167" s="76">
        <f>'6.Cons Profit &amp; Loss'!C8</f>
        <v>14330189.964825004</v>
      </c>
      <c r="E167" s="76">
        <f>'6.Cons Profit &amp; Loss'!D8</f>
        <v>16420789.638303751</v>
      </c>
      <c r="F167" s="76">
        <f>'6.Cons Profit &amp; Loss'!E8</f>
        <v>18684623.804218318</v>
      </c>
      <c r="G167" s="76">
        <f>'6.Cons Profit &amp; Loss'!F8</f>
        <v>21133789.41262858</v>
      </c>
      <c r="H167" s="76">
        <f>'6.Cons Profit &amp; Loss'!G8</f>
        <v>23781160.022369325</v>
      </c>
      <c r="I167" s="76">
        <f>'6.Cons Profit &amp; Loss'!H8</f>
        <v>26640433.219552569</v>
      </c>
    </row>
    <row r="168" spans="2:9">
      <c r="B168" s="74" t="str">
        <f t="shared" si="24"/>
        <v>Faclitiy 2 - Processing Unit- Dal Mill</v>
      </c>
      <c r="C168" s="76">
        <f>'6.Cons Profit &amp; Loss'!B9</f>
        <v>6220216.7999999998</v>
      </c>
      <c r="D168" s="76">
        <f>'6.Cons Profit &amp; Loss'!C9</f>
        <v>7353485.370000001</v>
      </c>
      <c r="E168" s="76">
        <f>'6.Cons Profit &amp; Loss'!D9</f>
        <v>8316966.0735000009</v>
      </c>
      <c r="F168" s="76">
        <f>'6.Cons Profit &amp; Loss'!E9</f>
        <v>9358411.1339250039</v>
      </c>
      <c r="G168" s="76">
        <f>'6.Cons Profit &amp; Loss'!F9</f>
        <v>10483208.285208756</v>
      </c>
      <c r="H168" s="76">
        <f>'6.Cons Profit &amp; Loss'!G9</f>
        <v>11697089.123786069</v>
      </c>
      <c r="I168" s="76">
        <f>'6.Cons Profit &amp; Loss'!H9</f>
        <v>13006150.025508091</v>
      </c>
    </row>
    <row r="169" spans="2:9">
      <c r="B169" s="74" t="str">
        <f t="shared" si="24"/>
        <v>Faclitiy 3 - Warehouse</v>
      </c>
      <c r="C169" s="76">
        <f>'6.Cons Profit &amp; Loss'!B10</f>
        <v>0</v>
      </c>
      <c r="D169" s="76">
        <f>'6.Cons Profit &amp; Loss'!C10</f>
        <v>0</v>
      </c>
      <c r="E169" s="76">
        <f>'6.Cons Profit &amp; Loss'!D10</f>
        <v>0</v>
      </c>
      <c r="F169" s="76">
        <f>'6.Cons Profit &amp; Loss'!E10</f>
        <v>0</v>
      </c>
      <c r="G169" s="76">
        <f>'6.Cons Profit &amp; Loss'!F10</f>
        <v>0</v>
      </c>
      <c r="H169" s="76">
        <f>'6.Cons Profit &amp; Loss'!G10</f>
        <v>0</v>
      </c>
      <c r="I169" s="76">
        <f>'6.Cons Profit &amp; Loss'!H10</f>
        <v>0</v>
      </c>
    </row>
    <row r="170" spans="2:9">
      <c r="B170" s="74" t="str">
        <f t="shared" si="24"/>
        <v xml:space="preserve">Faclitiy 4 - Custom Hiring </v>
      </c>
      <c r="C170" s="76">
        <f>'6.Cons Profit &amp; Loss'!B11</f>
        <v>5202380</v>
      </c>
      <c r="D170" s="76">
        <f>'6.Cons Profit &amp; Loss'!C11</f>
        <v>5468000</v>
      </c>
      <c r="E170" s="76">
        <f>'6.Cons Profit &amp; Loss'!D11</f>
        <v>5733004</v>
      </c>
      <c r="F170" s="76">
        <f>'6.Cons Profit &amp; Loss'!E11</f>
        <v>6020025.0000000009</v>
      </c>
      <c r="G170" s="76">
        <f>'6.Cons Profit &amp; Loss'!F11</f>
        <v>6320632.5000000009</v>
      </c>
      <c r="H170" s="76">
        <f>'6.Cons Profit &amp; Loss'!G11</f>
        <v>6636664.1250000009</v>
      </c>
      <c r="I170" s="76">
        <f>'6.Cons Profit &amp; Loss'!H11</f>
        <v>6968497.3312500026</v>
      </c>
    </row>
    <row r="171" spans="2:9">
      <c r="B171" s="74" t="str">
        <f t="shared" si="24"/>
        <v>Faclitiy 5 - Agri Input Centre</v>
      </c>
      <c r="C171" s="76">
        <f>'6.Cons Profit &amp; Loss'!B12</f>
        <v>0</v>
      </c>
      <c r="D171" s="76">
        <f>'6.Cons Profit &amp; Loss'!C12</f>
        <v>0</v>
      </c>
      <c r="E171" s="76">
        <f>'6.Cons Profit &amp; Loss'!D12</f>
        <v>0</v>
      </c>
      <c r="F171" s="76">
        <f>'6.Cons Profit &amp; Loss'!E12</f>
        <v>0</v>
      </c>
      <c r="G171" s="76">
        <f>'6.Cons Profit &amp; Loss'!F12</f>
        <v>0</v>
      </c>
      <c r="H171" s="76">
        <f>'6.Cons Profit &amp; Loss'!G12</f>
        <v>0</v>
      </c>
      <c r="I171" s="76">
        <f>'6.Cons Profit &amp; Loss'!H12</f>
        <v>0</v>
      </c>
    </row>
    <row r="172" spans="2:9">
      <c r="B172" s="74" t="str">
        <f t="shared" si="24"/>
        <v>Facility 6 - Processing Unit - Horti Commodity</v>
      </c>
      <c r="C172" s="76">
        <f>'6.Cons Profit &amp; Loss'!B13</f>
        <v>0</v>
      </c>
      <c r="D172" s="76">
        <f>'6.Cons Profit &amp; Loss'!C13</f>
        <v>0</v>
      </c>
      <c r="E172" s="76">
        <f>'6.Cons Profit &amp; Loss'!D13</f>
        <v>0</v>
      </c>
      <c r="F172" s="76">
        <f>'6.Cons Profit &amp; Loss'!E13</f>
        <v>0</v>
      </c>
      <c r="G172" s="76">
        <f>'6.Cons Profit &amp; Loss'!F13</f>
        <v>0</v>
      </c>
      <c r="H172" s="76">
        <f>'6.Cons Profit &amp; Loss'!G13</f>
        <v>0</v>
      </c>
      <c r="I172" s="76">
        <f>'6.Cons Profit &amp; Loss'!H13</f>
        <v>0</v>
      </c>
    </row>
    <row r="173" spans="2:9">
      <c r="B173" s="74">
        <f t="shared" si="24"/>
        <v>0</v>
      </c>
      <c r="C173" s="76">
        <f>'6.Cons Profit &amp; Loss'!B14</f>
        <v>0</v>
      </c>
      <c r="D173" s="76">
        <f>'6.Cons Profit &amp; Loss'!C14</f>
        <v>0</v>
      </c>
      <c r="E173" s="76">
        <f>'6.Cons Profit &amp; Loss'!D14</f>
        <v>0</v>
      </c>
      <c r="F173" s="76">
        <f>'6.Cons Profit &amp; Loss'!E14</f>
        <v>0</v>
      </c>
      <c r="G173" s="76">
        <f>'6.Cons Profit &amp; Loss'!F14</f>
        <v>0</v>
      </c>
      <c r="H173" s="76">
        <f>'6.Cons Profit &amp; Loss'!G14</f>
        <v>0</v>
      </c>
      <c r="I173" s="76">
        <f>'6.Cons Profit &amp; Loss'!H14</f>
        <v>0</v>
      </c>
    </row>
    <row r="174" spans="2:9">
      <c r="B174" s="74" t="s">
        <v>360</v>
      </c>
      <c r="C174" s="76">
        <f>SUM(C167:C173)</f>
        <v>23266566.965</v>
      </c>
      <c r="D174" s="76">
        <f t="shared" ref="D174:I174" si="25">SUM(D167:D173)</f>
        <v>27151675.334825005</v>
      </c>
      <c r="E174" s="76">
        <f t="shared" si="25"/>
        <v>30470759.711803753</v>
      </c>
      <c r="F174" s="76">
        <f t="shared" si="25"/>
        <v>34063059.93814332</v>
      </c>
      <c r="G174" s="76">
        <f t="shared" si="25"/>
        <v>37937630.197837338</v>
      </c>
      <c r="H174" s="76">
        <f t="shared" si="25"/>
        <v>42114913.271155395</v>
      </c>
      <c r="I174" s="76">
        <f t="shared" si="25"/>
        <v>46615080.576310664</v>
      </c>
    </row>
    <row r="175" spans="2:9">
      <c r="B175" s="74" t="s">
        <v>361</v>
      </c>
      <c r="C175" s="76"/>
      <c r="D175" s="76"/>
      <c r="E175" s="76"/>
      <c r="F175" s="76"/>
      <c r="G175" s="76"/>
      <c r="H175" s="76"/>
      <c r="I175" s="76"/>
    </row>
    <row r="176" spans="2:9">
      <c r="B176" s="74" t="s">
        <v>362</v>
      </c>
      <c r="C176" s="76">
        <f>'6.Cons Profit &amp; Loss'!B36</f>
        <v>1572000</v>
      </c>
      <c r="D176" s="76">
        <f>'6.Cons Profit &amp; Loss'!C36</f>
        <v>1650600</v>
      </c>
      <c r="E176" s="76">
        <f>'6.Cons Profit &amp; Loss'!D36</f>
        <v>1733130</v>
      </c>
      <c r="F176" s="76">
        <f>'6.Cons Profit &amp; Loss'!E36</f>
        <v>1819786.5000000005</v>
      </c>
      <c r="G176" s="76">
        <f>'6.Cons Profit &amp; Loss'!F36</f>
        <v>1910775.8250000004</v>
      </c>
      <c r="H176" s="76">
        <f>'6.Cons Profit &amp; Loss'!G36</f>
        <v>2006314.6162500004</v>
      </c>
      <c r="I176" s="76">
        <f>'6.Cons Profit &amp; Loss'!H36</f>
        <v>2106630.3470625007</v>
      </c>
    </row>
    <row r="177" spans="2:13">
      <c r="B177" s="74" t="s">
        <v>316</v>
      </c>
      <c r="C177" s="76">
        <f>'6.Cons Profit &amp; Loss'!B25*(1-$M$124)</f>
        <v>17718365.048007499</v>
      </c>
      <c r="D177" s="76">
        <f>'6.Cons Profit &amp; Loss'!C25*(1-$M$124)</f>
        <v>20723241.604247414</v>
      </c>
      <c r="E177" s="76">
        <f>'6.Cons Profit &amp; Loss'!D25*(1-$M$124)</f>
        <v>23306611.705181386</v>
      </c>
      <c r="F177" s="76">
        <f>'6.Cons Profit &amp; Loss'!E25*(1-$M$124)</f>
        <v>26096510.712198142</v>
      </c>
      <c r="G177" s="76">
        <f>'6.Cons Profit &amp; Loss'!F25*(1-$M$124)</f>
        <v>29107133.090653621</v>
      </c>
      <c r="H177" s="76">
        <f>'6.Cons Profit &amp; Loss'!G25*(1-$M$124)</f>
        <v>32353576.43017415</v>
      </c>
      <c r="I177" s="76">
        <f>'6.Cons Profit &amp; Loss'!H25*(1-$M$124)</f>
        <v>35851896.270920098</v>
      </c>
    </row>
    <row r="178" spans="2:13">
      <c r="B178" s="74" t="s">
        <v>363</v>
      </c>
      <c r="C178" s="76">
        <f t="shared" ref="C178:I178" si="26">SUM(C176:C177)</f>
        <v>19290365.048007499</v>
      </c>
      <c r="D178" s="76">
        <f t="shared" si="26"/>
        <v>22373841.604247414</v>
      </c>
      <c r="E178" s="76">
        <f t="shared" si="26"/>
        <v>25039741.705181386</v>
      </c>
      <c r="F178" s="76">
        <f t="shared" si="26"/>
        <v>27916297.212198142</v>
      </c>
      <c r="G178" s="76">
        <f t="shared" si="26"/>
        <v>31017908.91565362</v>
      </c>
      <c r="H178" s="76">
        <f t="shared" si="26"/>
        <v>34359891.04642415</v>
      </c>
      <c r="I178" s="76">
        <f t="shared" si="26"/>
        <v>37958526.617982596</v>
      </c>
    </row>
    <row r="179" spans="2:13">
      <c r="B179" s="77" t="s">
        <v>364</v>
      </c>
      <c r="C179" s="340">
        <f t="shared" ref="C179:I179" si="27">+C174-C178</f>
        <v>3976201.9169925004</v>
      </c>
      <c r="D179" s="340">
        <f t="shared" si="27"/>
        <v>4777833.7305775918</v>
      </c>
      <c r="E179" s="340">
        <f t="shared" si="27"/>
        <v>5431018.0066223666</v>
      </c>
      <c r="F179" s="340">
        <f t="shared" si="27"/>
        <v>6146762.7259451784</v>
      </c>
      <c r="G179" s="340">
        <f t="shared" si="27"/>
        <v>6919721.2821837179</v>
      </c>
      <c r="H179" s="340">
        <f t="shared" si="27"/>
        <v>7755022.2247312441</v>
      </c>
      <c r="I179" s="340">
        <f t="shared" si="27"/>
        <v>8656553.9583280683</v>
      </c>
    </row>
    <row r="181" spans="2:13" ht="41.1" customHeight="1">
      <c r="B181" s="461" t="s">
        <v>558</v>
      </c>
      <c r="C181" s="461"/>
      <c r="D181" s="461"/>
      <c r="E181" s="461"/>
      <c r="F181" s="461"/>
      <c r="G181" s="461"/>
      <c r="H181" s="461"/>
      <c r="I181" s="461"/>
      <c r="J181" s="347"/>
      <c r="K181" s="347"/>
      <c r="L181" s="347"/>
      <c r="M181" s="347"/>
    </row>
  </sheetData>
  <mergeCells count="20">
    <mergeCell ref="B181:I181"/>
    <mergeCell ref="B120:I120"/>
    <mergeCell ref="K120:R120"/>
    <mergeCell ref="D17:J17"/>
    <mergeCell ref="D19:J19"/>
    <mergeCell ref="B72:J72"/>
    <mergeCell ref="B85:I85"/>
    <mergeCell ref="B100:J100"/>
    <mergeCell ref="B118:J118"/>
    <mergeCell ref="B102:I102"/>
    <mergeCell ref="B73:I73"/>
    <mergeCell ref="C79:I79"/>
    <mergeCell ref="C80:I80"/>
    <mergeCell ref="C82:I82"/>
    <mergeCell ref="B87:J87"/>
    <mergeCell ref="B2:J2"/>
    <mergeCell ref="B23:I23"/>
    <mergeCell ref="B51:I51"/>
    <mergeCell ref="B21:J21"/>
    <mergeCell ref="B48:J48"/>
  </mergeCells>
  <hyperlinks>
    <hyperlink ref="B21" r:id="rId1" display="https://www.investopedia.com/terms/d/discountrate.asp" xr:uid="{00000000-0004-0000-0900-000000000000}"/>
  </hyperlinks>
  <pageMargins left="0.7" right="0.7" top="0.75" bottom="0.75" header="0.3" footer="0.3"/>
  <pageSetup scale="67" orientation="landscape" r:id="rId2"/>
  <rowBreaks count="4" manualBreakCount="4">
    <brk id="48" min="1" max="9" man="1"/>
    <brk id="72" min="1" max="9" man="1"/>
    <brk id="119" min="1" max="9" man="1"/>
    <brk id="150"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SheetLayoutView="100" workbookViewId="0">
      <selection activeCell="B36" sqref="B3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1" t="s">
        <v>618</v>
      </c>
      <c r="B1" s="421"/>
      <c r="C1" s="421"/>
      <c r="D1" s="421"/>
      <c r="E1" s="421"/>
      <c r="F1" s="421"/>
      <c r="G1" s="421"/>
      <c r="H1" s="421"/>
    </row>
    <row r="2" spans="1:26">
      <c r="B2" s="4"/>
    </row>
    <row r="3" spans="1:26" ht="18.75">
      <c r="A3" s="470" t="s">
        <v>587</v>
      </c>
      <c r="B3" s="470"/>
    </row>
    <row r="4" spans="1:26">
      <c r="A4" s="293" t="s">
        <v>0</v>
      </c>
      <c r="B4" s="311" t="s">
        <v>401</v>
      </c>
      <c r="C4" s="312"/>
      <c r="D4" s="312"/>
      <c r="E4" s="312"/>
      <c r="F4" s="312"/>
      <c r="G4" s="312"/>
      <c r="H4" s="312"/>
    </row>
    <row r="5" spans="1:26">
      <c r="A5" s="10" t="s">
        <v>511</v>
      </c>
      <c r="B5" s="289">
        <v>300</v>
      </c>
      <c r="C5" s="313"/>
      <c r="D5" s="314"/>
      <c r="E5" s="314"/>
      <c r="F5" s="314"/>
      <c r="G5" s="314"/>
      <c r="H5" s="314"/>
    </row>
    <row r="6" spans="1:26">
      <c r="A6" s="10" t="s">
        <v>512</v>
      </c>
      <c r="B6" s="289">
        <v>150</v>
      </c>
      <c r="C6" s="313"/>
      <c r="D6" s="314"/>
      <c r="E6" s="314"/>
      <c r="F6" s="314"/>
      <c r="G6" s="314"/>
      <c r="H6" s="314"/>
    </row>
    <row r="7" spans="1:26">
      <c r="A7" s="2" t="s">
        <v>1</v>
      </c>
      <c r="B7" s="337">
        <f>B5+B6</f>
        <v>450</v>
      </c>
      <c r="C7" s="315"/>
      <c r="D7" s="316"/>
      <c r="E7" s="316"/>
      <c r="F7" s="316"/>
      <c r="G7" s="316"/>
      <c r="H7" s="316"/>
    </row>
    <row r="8" spans="1:26">
      <c r="A8" s="2" t="s">
        <v>513</v>
      </c>
      <c r="B8" s="336">
        <v>1</v>
      </c>
      <c r="C8" s="315"/>
      <c r="D8" s="315"/>
      <c r="E8" s="315"/>
      <c r="F8" s="315"/>
      <c r="G8" s="315"/>
      <c r="H8" s="315"/>
    </row>
    <row r="9" spans="1:26">
      <c r="A9" s="2" t="s">
        <v>518</v>
      </c>
      <c r="B9" s="337">
        <f>B7*B8</f>
        <v>450</v>
      </c>
      <c r="C9" s="316"/>
      <c r="D9" s="316"/>
      <c r="E9" s="316"/>
      <c r="F9" s="316"/>
      <c r="G9" s="316"/>
      <c r="H9" s="316"/>
    </row>
    <row r="10" spans="1:26">
      <c r="J10" t="s">
        <v>466</v>
      </c>
      <c r="O10" t="s">
        <v>462</v>
      </c>
      <c r="U10" t="s">
        <v>463</v>
      </c>
      <c r="Y10" t="s">
        <v>464</v>
      </c>
      <c r="Z10" t="s">
        <v>465</v>
      </c>
    </row>
    <row r="11" spans="1:26" ht="18.75">
      <c r="A11" s="421" t="s">
        <v>588</v>
      </c>
      <c r="B11" s="421"/>
      <c r="C11" s="421"/>
      <c r="D11" s="421"/>
      <c r="E11" s="421"/>
      <c r="F11" s="421"/>
      <c r="G11" s="421"/>
      <c r="H11" s="421"/>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405</v>
      </c>
      <c r="B13" s="293" t="s">
        <v>406</v>
      </c>
      <c r="C13" s="294" t="s">
        <v>459</v>
      </c>
      <c r="D13" s="294" t="s">
        <v>467</v>
      </c>
      <c r="E13" s="294" t="s">
        <v>468</v>
      </c>
      <c r="F13" s="294" t="s">
        <v>407</v>
      </c>
      <c r="G13" s="294" t="s">
        <v>662</v>
      </c>
      <c r="H13" s="294" t="s">
        <v>408</v>
      </c>
      <c r="O13" s="306" t="s">
        <v>2</v>
      </c>
      <c r="P13" s="306" t="s">
        <v>3</v>
      </c>
      <c r="Q13" s="306" t="s">
        <v>4</v>
      </c>
      <c r="R13" s="306" t="s">
        <v>5</v>
      </c>
      <c r="S13" s="306" t="s">
        <v>6</v>
      </c>
      <c r="T13" s="306" t="s">
        <v>2</v>
      </c>
      <c r="U13" s="306" t="s">
        <v>3</v>
      </c>
      <c r="V13" s="306" t="s">
        <v>4</v>
      </c>
      <c r="W13" s="306" t="s">
        <v>5</v>
      </c>
      <c r="X13" s="306" t="s">
        <v>6</v>
      </c>
    </row>
    <row r="14" spans="1:26">
      <c r="A14" s="474" t="s">
        <v>409</v>
      </c>
      <c r="B14" s="289" t="s">
        <v>169</v>
      </c>
      <c r="C14" s="304">
        <v>0.6</v>
      </c>
      <c r="D14" s="10">
        <f t="shared" ref="D14:D22" si="3">$B$9*C14</f>
        <v>270</v>
      </c>
      <c r="E14" s="290">
        <v>15</v>
      </c>
      <c r="F14" s="10">
        <f>D14*E14</f>
        <v>4050</v>
      </c>
      <c r="G14" s="305">
        <v>0.1</v>
      </c>
      <c r="H14" s="10">
        <f>(F14-F14*G14)</f>
        <v>3645</v>
      </c>
      <c r="J14">
        <f>$D$14*J12</f>
        <v>175.5</v>
      </c>
      <c r="K14">
        <f>$D$14*K12</f>
        <v>189.00000000000003</v>
      </c>
      <c r="L14">
        <f>$D$14*L12</f>
        <v>202.50000000000003</v>
      </c>
      <c r="M14">
        <f>$D$14*M12</f>
        <v>216.00000000000003</v>
      </c>
      <c r="N14">
        <f>$D$14*N12</f>
        <v>229.50000000000006</v>
      </c>
    </row>
    <row r="15" spans="1:26">
      <c r="A15" s="475"/>
      <c r="B15" s="289" t="s">
        <v>491</v>
      </c>
      <c r="C15" s="304">
        <v>0.2</v>
      </c>
      <c r="D15" s="10">
        <f t="shared" si="3"/>
        <v>90</v>
      </c>
      <c r="E15" s="290">
        <v>7</v>
      </c>
      <c r="F15" s="10">
        <f t="shared" ref="F15:F36" si="4">D15*E15</f>
        <v>630</v>
      </c>
      <c r="G15" s="305">
        <v>0.05</v>
      </c>
      <c r="H15" s="10">
        <f>(F15-F15*G15)</f>
        <v>598.5</v>
      </c>
    </row>
    <row r="16" spans="1:26">
      <c r="A16" s="475"/>
      <c r="B16" s="289" t="s">
        <v>490</v>
      </c>
      <c r="C16" s="304">
        <v>0</v>
      </c>
      <c r="D16" s="10">
        <f t="shared" si="3"/>
        <v>0</v>
      </c>
      <c r="E16" s="290">
        <v>0</v>
      </c>
      <c r="F16" s="10">
        <f t="shared" si="4"/>
        <v>0</v>
      </c>
      <c r="G16" s="305">
        <v>0</v>
      </c>
      <c r="H16" s="10">
        <f t="shared" ref="H16:H36" si="5">(F16-F16*G16)</f>
        <v>0</v>
      </c>
    </row>
    <row r="17" spans="1:8">
      <c r="A17" s="475"/>
      <c r="B17" s="289" t="s">
        <v>488</v>
      </c>
      <c r="C17" s="304">
        <v>0.35</v>
      </c>
      <c r="D17" s="10">
        <f t="shared" si="3"/>
        <v>157.5</v>
      </c>
      <c r="E17" s="290">
        <v>7</v>
      </c>
      <c r="F17" s="10">
        <f t="shared" si="4"/>
        <v>1102.5</v>
      </c>
      <c r="G17" s="305">
        <v>0.02</v>
      </c>
      <c r="H17" s="10">
        <f t="shared" si="5"/>
        <v>1080.45</v>
      </c>
    </row>
    <row r="18" spans="1:8">
      <c r="A18" s="475"/>
      <c r="B18" s="289" t="s">
        <v>410</v>
      </c>
      <c r="C18" s="304">
        <v>0.75</v>
      </c>
      <c r="D18" s="10">
        <f t="shared" si="3"/>
        <v>337.5</v>
      </c>
      <c r="E18" s="290">
        <v>20</v>
      </c>
      <c r="F18" s="10">
        <f t="shared" si="4"/>
        <v>6750</v>
      </c>
      <c r="G18" s="305">
        <v>0</v>
      </c>
      <c r="H18" s="10">
        <f t="shared" si="5"/>
        <v>6750</v>
      </c>
    </row>
    <row r="19" spans="1:8">
      <c r="A19" s="475"/>
      <c r="B19" s="289" t="s">
        <v>489</v>
      </c>
      <c r="C19" s="304">
        <v>0.3</v>
      </c>
      <c r="D19" s="10">
        <f t="shared" si="3"/>
        <v>135</v>
      </c>
      <c r="E19" s="290">
        <v>7</v>
      </c>
      <c r="F19" s="10">
        <f t="shared" si="4"/>
        <v>945</v>
      </c>
      <c r="G19" s="305">
        <v>0.1</v>
      </c>
      <c r="H19" s="10">
        <f t="shared" si="5"/>
        <v>850.5</v>
      </c>
    </row>
    <row r="20" spans="1:8">
      <c r="A20" s="475"/>
      <c r="B20" s="289" t="s">
        <v>482</v>
      </c>
      <c r="C20" s="304">
        <v>0</v>
      </c>
      <c r="D20" s="10">
        <f t="shared" si="3"/>
        <v>0</v>
      </c>
      <c r="E20" s="290">
        <v>0</v>
      </c>
      <c r="F20" s="10">
        <f t="shared" si="4"/>
        <v>0</v>
      </c>
      <c r="G20" s="305">
        <v>0.02</v>
      </c>
      <c r="H20" s="10">
        <f t="shared" si="5"/>
        <v>0</v>
      </c>
    </row>
    <row r="21" spans="1:8">
      <c r="A21" s="475"/>
      <c r="B21" s="289" t="s">
        <v>414</v>
      </c>
      <c r="C21" s="304">
        <v>0.8</v>
      </c>
      <c r="D21" s="10">
        <f t="shared" si="3"/>
        <v>360</v>
      </c>
      <c r="E21" s="290"/>
      <c r="F21" s="10">
        <f t="shared" si="4"/>
        <v>0</v>
      </c>
      <c r="G21" s="305">
        <v>0</v>
      </c>
      <c r="H21" s="10">
        <f t="shared" si="5"/>
        <v>0</v>
      </c>
    </row>
    <row r="22" spans="1:8">
      <c r="A22" s="476"/>
      <c r="B22" s="289" t="s">
        <v>492</v>
      </c>
      <c r="C22" s="304">
        <v>0</v>
      </c>
      <c r="D22" s="10">
        <f t="shared" si="3"/>
        <v>0</v>
      </c>
      <c r="E22" s="290"/>
      <c r="F22" s="10">
        <f t="shared" si="4"/>
        <v>0</v>
      </c>
      <c r="G22" s="305">
        <v>0</v>
      </c>
      <c r="H22" s="10">
        <f t="shared" si="5"/>
        <v>0</v>
      </c>
    </row>
    <row r="23" spans="1:8">
      <c r="A23" s="319" t="s">
        <v>496</v>
      </c>
      <c r="B23" s="329">
        <v>0.3</v>
      </c>
      <c r="C23" s="331">
        <f>B9*B23</f>
        <v>135</v>
      </c>
      <c r="D23" s="10"/>
      <c r="E23" s="290"/>
      <c r="F23" s="10"/>
      <c r="G23" s="305"/>
      <c r="H23" s="10"/>
    </row>
    <row r="24" spans="1:8">
      <c r="A24" s="474" t="s">
        <v>411</v>
      </c>
      <c r="B24" s="289" t="s">
        <v>412</v>
      </c>
      <c r="C24" s="304">
        <v>0</v>
      </c>
      <c r="D24" s="10">
        <f>C$23*C24</f>
        <v>0</v>
      </c>
      <c r="E24" s="290">
        <v>10</v>
      </c>
      <c r="F24" s="10">
        <f t="shared" si="4"/>
        <v>0</v>
      </c>
      <c r="G24" s="305">
        <v>0.1</v>
      </c>
      <c r="H24" s="10">
        <f t="shared" si="5"/>
        <v>0</v>
      </c>
    </row>
    <row r="25" spans="1:8">
      <c r="A25" s="475"/>
      <c r="B25" s="289" t="s">
        <v>413</v>
      </c>
      <c r="C25" s="304">
        <v>0.25</v>
      </c>
      <c r="D25" s="10">
        <f>C$23*C25</f>
        <v>33.75</v>
      </c>
      <c r="E25" s="290">
        <v>10</v>
      </c>
      <c r="F25" s="10">
        <f t="shared" si="4"/>
        <v>337.5</v>
      </c>
      <c r="G25" s="305">
        <v>0.1</v>
      </c>
      <c r="H25" s="10">
        <f t="shared" si="5"/>
        <v>303.75</v>
      </c>
    </row>
    <row r="26" spans="1:8">
      <c r="A26" s="475"/>
      <c r="B26" s="289" t="s">
        <v>414</v>
      </c>
      <c r="C26" s="304">
        <v>0.5</v>
      </c>
      <c r="D26" s="10">
        <f>C$23*C26</f>
        <v>67.5</v>
      </c>
      <c r="E26" s="290">
        <v>10</v>
      </c>
      <c r="F26" s="10">
        <f t="shared" si="4"/>
        <v>675</v>
      </c>
      <c r="G26" s="305">
        <v>0.05</v>
      </c>
      <c r="H26" s="10">
        <f t="shared" si="5"/>
        <v>641.25</v>
      </c>
    </row>
    <row r="27" spans="1:8">
      <c r="A27" s="475"/>
      <c r="B27" s="289" t="s">
        <v>410</v>
      </c>
      <c r="C27" s="304">
        <v>0.4</v>
      </c>
      <c r="D27" s="10">
        <f t="shared" ref="D27:D31" si="6">C$23*C27</f>
        <v>54</v>
      </c>
      <c r="E27" s="290">
        <v>20</v>
      </c>
      <c r="F27" s="10">
        <f t="shared" si="4"/>
        <v>1080</v>
      </c>
      <c r="G27" s="305">
        <v>0</v>
      </c>
      <c r="H27" s="10">
        <f t="shared" si="5"/>
        <v>1080</v>
      </c>
    </row>
    <row r="28" spans="1:8">
      <c r="A28" s="475"/>
      <c r="B28" s="289" t="s">
        <v>493</v>
      </c>
      <c r="C28" s="304">
        <v>0</v>
      </c>
      <c r="D28" s="10">
        <f t="shared" si="6"/>
        <v>0</v>
      </c>
      <c r="E28" s="290"/>
      <c r="F28" s="10">
        <f t="shared" si="4"/>
        <v>0</v>
      </c>
      <c r="G28" s="305">
        <v>0</v>
      </c>
      <c r="H28" s="10">
        <f t="shared" si="5"/>
        <v>0</v>
      </c>
    </row>
    <row r="29" spans="1:8">
      <c r="A29" s="475"/>
      <c r="B29" s="289"/>
      <c r="C29" s="304">
        <v>0</v>
      </c>
      <c r="D29" s="10">
        <f t="shared" si="6"/>
        <v>0</v>
      </c>
      <c r="E29" s="290"/>
      <c r="F29" s="10">
        <f t="shared" si="4"/>
        <v>0</v>
      </c>
      <c r="G29" s="305">
        <v>0</v>
      </c>
      <c r="H29" s="10">
        <f t="shared" si="5"/>
        <v>0</v>
      </c>
    </row>
    <row r="30" spans="1:8">
      <c r="A30" s="475"/>
      <c r="B30" s="289"/>
      <c r="C30" s="304">
        <v>0</v>
      </c>
      <c r="D30" s="10">
        <f t="shared" si="6"/>
        <v>0</v>
      </c>
      <c r="E30" s="290"/>
      <c r="F30" s="10">
        <f t="shared" si="4"/>
        <v>0</v>
      </c>
      <c r="G30" s="305">
        <v>0</v>
      </c>
      <c r="H30" s="10">
        <f t="shared" si="5"/>
        <v>0</v>
      </c>
    </row>
    <row r="31" spans="1:8">
      <c r="A31" s="476"/>
      <c r="B31" s="289"/>
      <c r="C31" s="304">
        <v>0</v>
      </c>
      <c r="D31" s="10">
        <f t="shared" si="6"/>
        <v>0</v>
      </c>
      <c r="E31" s="290"/>
      <c r="F31" s="10">
        <f t="shared" si="4"/>
        <v>0</v>
      </c>
      <c r="G31" s="305">
        <v>0</v>
      </c>
      <c r="H31" s="10">
        <f t="shared" si="5"/>
        <v>0</v>
      </c>
    </row>
    <row r="32" spans="1:8">
      <c r="A32" s="319" t="s">
        <v>495</v>
      </c>
      <c r="B32" s="329">
        <v>0.05</v>
      </c>
      <c r="C32" s="298">
        <f>B9*B32</f>
        <v>22.5</v>
      </c>
      <c r="D32" s="10"/>
      <c r="E32" s="290"/>
      <c r="F32" s="10"/>
      <c r="G32" s="305"/>
      <c r="H32" s="10"/>
    </row>
    <row r="33" spans="1:8">
      <c r="A33" s="332" t="s">
        <v>473</v>
      </c>
      <c r="B33" s="289" t="s">
        <v>494</v>
      </c>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73" t="s">
        <v>415</v>
      </c>
      <c r="B37" s="473"/>
      <c r="C37" s="473"/>
      <c r="D37" s="473"/>
      <c r="E37" s="473"/>
      <c r="F37" s="473"/>
      <c r="G37" s="473"/>
      <c r="H37" s="473"/>
    </row>
    <row r="39" spans="1:8" ht="18.75">
      <c r="A39" s="477" t="s">
        <v>589</v>
      </c>
      <c r="B39" s="478"/>
      <c r="C39" s="478"/>
      <c r="D39" s="478"/>
      <c r="E39" s="478"/>
      <c r="F39" s="478"/>
      <c r="G39" s="478"/>
      <c r="H39" s="479"/>
    </row>
    <row r="40" spans="1:8">
      <c r="A40" s="480" t="s">
        <v>0</v>
      </c>
      <c r="B40" s="320">
        <v>0.5</v>
      </c>
      <c r="C40" s="320">
        <f>B40+0.05</f>
        <v>0.55000000000000004</v>
      </c>
      <c r="D40" s="320">
        <f t="shared" ref="D40:G40" si="7">C40+0.05</f>
        <v>0.60000000000000009</v>
      </c>
      <c r="E40" s="320">
        <f t="shared" si="7"/>
        <v>0.65000000000000013</v>
      </c>
      <c r="F40" s="320">
        <f t="shared" si="7"/>
        <v>0.70000000000000018</v>
      </c>
      <c r="G40" s="320">
        <f t="shared" si="7"/>
        <v>0.75000000000000022</v>
      </c>
      <c r="H40" s="320">
        <f>G40+0.05</f>
        <v>0.80000000000000027</v>
      </c>
    </row>
    <row r="41" spans="1:8">
      <c r="A41" s="481"/>
      <c r="B41" s="311" t="s">
        <v>2</v>
      </c>
      <c r="C41" s="311" t="s">
        <v>3</v>
      </c>
      <c r="D41" s="311" t="s">
        <v>4</v>
      </c>
      <c r="E41" s="311" t="s">
        <v>5</v>
      </c>
      <c r="F41" s="311" t="s">
        <v>6</v>
      </c>
      <c r="G41" s="311" t="s">
        <v>171</v>
      </c>
      <c r="H41" s="311" t="s">
        <v>170</v>
      </c>
    </row>
    <row r="42" spans="1:8">
      <c r="A42" s="10" t="str">
        <f t="shared" ref="A42:A50" si="8">B14</f>
        <v>Soybean</v>
      </c>
      <c r="B42" s="10">
        <f t="shared" ref="B42:B50" si="9">H14*$B$40</f>
        <v>1822.5</v>
      </c>
      <c r="C42" s="10">
        <f t="shared" ref="C42:H51" si="10">(B42/B$40)*C$40</f>
        <v>2004.7500000000002</v>
      </c>
      <c r="D42" s="10">
        <f t="shared" si="10"/>
        <v>2187.0000000000005</v>
      </c>
      <c r="E42" s="10">
        <f t="shared" si="10"/>
        <v>2369.2500000000005</v>
      </c>
      <c r="F42" s="10">
        <f t="shared" si="10"/>
        <v>2551.5000000000005</v>
      </c>
      <c r="G42" s="10">
        <f t="shared" si="10"/>
        <v>2733.7500000000005</v>
      </c>
      <c r="H42" s="10">
        <f t="shared" si="10"/>
        <v>2916.0000000000005</v>
      </c>
    </row>
    <row r="43" spans="1:8">
      <c r="A43" s="10" t="str">
        <f t="shared" si="8"/>
        <v>Red Gram/Tur</v>
      </c>
      <c r="B43" s="10">
        <f t="shared" si="9"/>
        <v>299.25</v>
      </c>
      <c r="C43" s="10">
        <f t="shared" si="10"/>
        <v>329.17500000000001</v>
      </c>
      <c r="D43" s="10">
        <f t="shared" si="10"/>
        <v>359.10000000000008</v>
      </c>
      <c r="E43" s="10">
        <f t="shared" si="10"/>
        <v>389.02500000000009</v>
      </c>
      <c r="F43" s="10">
        <f t="shared" si="10"/>
        <v>418.9500000000001</v>
      </c>
      <c r="G43" s="10">
        <f t="shared" si="10"/>
        <v>448.87500000000011</v>
      </c>
      <c r="H43" s="10">
        <f t="shared" si="10"/>
        <v>478.80000000000018</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540.22500000000002</v>
      </c>
      <c r="C45" s="10">
        <f t="shared" si="10"/>
        <v>594.24750000000006</v>
      </c>
      <c r="D45" s="10">
        <f t="shared" si="10"/>
        <v>648.2700000000001</v>
      </c>
      <c r="E45" s="10">
        <f t="shared" si="10"/>
        <v>702.29250000000013</v>
      </c>
      <c r="F45" s="10">
        <f t="shared" si="10"/>
        <v>756.31500000000017</v>
      </c>
      <c r="G45" s="10">
        <f t="shared" si="10"/>
        <v>810.33750000000032</v>
      </c>
      <c r="H45" s="10">
        <f t="shared" si="10"/>
        <v>864.36000000000035</v>
      </c>
    </row>
    <row r="46" spans="1:8">
      <c r="A46" s="10" t="str">
        <f t="shared" si="8"/>
        <v>Maize</v>
      </c>
      <c r="B46" s="10">
        <f t="shared" si="9"/>
        <v>3375</v>
      </c>
      <c r="C46" s="10">
        <f t="shared" si="10"/>
        <v>3712.5000000000005</v>
      </c>
      <c r="D46" s="10">
        <f t="shared" si="10"/>
        <v>4050.0000000000005</v>
      </c>
      <c r="E46" s="10">
        <f t="shared" si="10"/>
        <v>4387.5000000000009</v>
      </c>
      <c r="F46" s="10">
        <f t="shared" si="10"/>
        <v>4725.0000000000009</v>
      </c>
      <c r="G46" s="10">
        <f t="shared" si="10"/>
        <v>5062.5000000000018</v>
      </c>
      <c r="H46" s="10">
        <f t="shared" si="10"/>
        <v>5400.0000000000018</v>
      </c>
    </row>
    <row r="47" spans="1:8">
      <c r="A47" s="10" t="str">
        <f t="shared" si="8"/>
        <v>Black Gram/Udid</v>
      </c>
      <c r="B47" s="10">
        <f t="shared" si="9"/>
        <v>425.25</v>
      </c>
      <c r="C47" s="10">
        <f t="shared" si="10"/>
        <v>467.77500000000003</v>
      </c>
      <c r="D47" s="10">
        <f t="shared" si="10"/>
        <v>510.30000000000007</v>
      </c>
      <c r="E47" s="10">
        <f t="shared" si="10"/>
        <v>552.82500000000016</v>
      </c>
      <c r="F47" s="10">
        <f t="shared" si="10"/>
        <v>595.35000000000025</v>
      </c>
      <c r="G47" s="10">
        <f t="shared" si="10"/>
        <v>637.87500000000023</v>
      </c>
      <c r="H47" s="10">
        <f t="shared" si="10"/>
        <v>680.4000000000002</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151.875</v>
      </c>
      <c r="C52" s="10">
        <f t="shared" ref="C52:H61" si="13">(B52/B$40)*C$40</f>
        <v>167.0625</v>
      </c>
      <c r="D52" s="10">
        <f t="shared" si="13"/>
        <v>182.25000000000003</v>
      </c>
      <c r="E52" s="10">
        <f t="shared" si="13"/>
        <v>197.43750000000003</v>
      </c>
      <c r="F52" s="10">
        <f t="shared" si="13"/>
        <v>212.62500000000006</v>
      </c>
      <c r="G52" s="10">
        <f t="shared" si="13"/>
        <v>227.81250000000006</v>
      </c>
      <c r="H52" s="10">
        <f t="shared" si="13"/>
        <v>243.00000000000009</v>
      </c>
    </row>
    <row r="53" spans="1:8">
      <c r="A53" s="10" t="str">
        <f t="shared" si="11"/>
        <v>Jawar</v>
      </c>
      <c r="B53" s="10">
        <f t="shared" si="12"/>
        <v>320.625</v>
      </c>
      <c r="C53" s="10">
        <f t="shared" si="13"/>
        <v>352.68750000000006</v>
      </c>
      <c r="D53" s="10">
        <f t="shared" si="13"/>
        <v>384.75000000000006</v>
      </c>
      <c r="E53" s="10">
        <f t="shared" si="13"/>
        <v>416.81250000000011</v>
      </c>
      <c r="F53" s="10">
        <f t="shared" si="13"/>
        <v>448.87500000000011</v>
      </c>
      <c r="G53" s="10">
        <f t="shared" si="13"/>
        <v>480.93750000000017</v>
      </c>
      <c r="H53" s="10">
        <f t="shared" si="13"/>
        <v>513.00000000000023</v>
      </c>
    </row>
    <row r="54" spans="1:8">
      <c r="A54" s="10" t="str">
        <f t="shared" si="11"/>
        <v>Maize</v>
      </c>
      <c r="B54" s="10">
        <f t="shared" si="12"/>
        <v>540</v>
      </c>
      <c r="C54" s="10">
        <f t="shared" si="13"/>
        <v>594</v>
      </c>
      <c r="D54" s="10">
        <f t="shared" si="13"/>
        <v>648.00000000000011</v>
      </c>
      <c r="E54" s="10">
        <f t="shared" si="13"/>
        <v>702.00000000000011</v>
      </c>
      <c r="F54" s="10">
        <f t="shared" si="13"/>
        <v>756.00000000000023</v>
      </c>
      <c r="G54" s="10">
        <f t="shared" si="13"/>
        <v>810.00000000000023</v>
      </c>
      <c r="H54" s="10">
        <f t="shared" si="13"/>
        <v>864.00000000000034</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82" t="s">
        <v>590</v>
      </c>
      <c r="B64" s="483"/>
      <c r="C64" s="483"/>
      <c r="D64" s="483"/>
      <c r="E64" s="483"/>
      <c r="F64" s="483"/>
      <c r="G64" s="483"/>
      <c r="H64" s="484"/>
    </row>
    <row r="65" spans="1:8">
      <c r="A65" s="485" t="s">
        <v>0</v>
      </c>
      <c r="B65" s="321">
        <v>0.6</v>
      </c>
      <c r="C65" s="321">
        <f>B65+0.05</f>
        <v>0.65</v>
      </c>
      <c r="D65" s="321">
        <f t="shared" ref="D65:G65" si="15">C65+0.05</f>
        <v>0.70000000000000007</v>
      </c>
      <c r="E65" s="321">
        <f t="shared" si="15"/>
        <v>0.75000000000000011</v>
      </c>
      <c r="F65" s="321">
        <f t="shared" si="15"/>
        <v>0.80000000000000016</v>
      </c>
      <c r="G65" s="321">
        <f t="shared" si="15"/>
        <v>0.8500000000000002</v>
      </c>
      <c r="H65" s="321">
        <f>G65+0.05</f>
        <v>0.90000000000000024</v>
      </c>
    </row>
    <row r="66" spans="1:8">
      <c r="A66" s="486"/>
      <c r="B66" s="311" t="s">
        <v>2</v>
      </c>
      <c r="C66" s="311" t="s">
        <v>3</v>
      </c>
      <c r="D66" s="311" t="s">
        <v>4</v>
      </c>
      <c r="E66" s="311" t="s">
        <v>5</v>
      </c>
      <c r="F66" s="311" t="s">
        <v>6</v>
      </c>
      <c r="G66" s="311" t="s">
        <v>171</v>
      </c>
      <c r="H66" s="311" t="s">
        <v>170</v>
      </c>
    </row>
    <row r="67" spans="1:8" s="13" customFormat="1">
      <c r="A67" s="10" t="str">
        <f t="shared" ref="A67:A87" si="16">A42</f>
        <v>Soybean</v>
      </c>
      <c r="B67" s="10">
        <f>H14*$B$65</f>
        <v>2187</v>
      </c>
      <c r="C67" s="10">
        <f>(B67/B$65)*C$65</f>
        <v>2369.25</v>
      </c>
      <c r="D67" s="10">
        <f t="shared" ref="D67:H68" si="17">(C67/C$65)*D$65</f>
        <v>2551.5000000000005</v>
      </c>
      <c r="E67" s="10">
        <f t="shared" si="17"/>
        <v>2733.7500000000009</v>
      </c>
      <c r="F67" s="10">
        <f t="shared" si="17"/>
        <v>2916.0000000000009</v>
      </c>
      <c r="G67" s="10">
        <f t="shared" si="17"/>
        <v>3098.2500000000009</v>
      </c>
      <c r="H67" s="10">
        <f t="shared" si="17"/>
        <v>3280.5000000000009</v>
      </c>
    </row>
    <row r="68" spans="1:8">
      <c r="A68" s="10" t="str">
        <f t="shared" si="16"/>
        <v>Red Gram/Tur</v>
      </c>
      <c r="B68" s="10">
        <f t="shared" ref="B68:B75" si="18">H15*$B$65</f>
        <v>359.09999999999997</v>
      </c>
      <c r="C68" s="10">
        <f>(B68/B$65)*C$65</f>
        <v>389.02500000000003</v>
      </c>
      <c r="D68" s="10">
        <f t="shared" si="17"/>
        <v>418.95000000000005</v>
      </c>
      <c r="E68" s="10">
        <f t="shared" si="17"/>
        <v>448.87500000000006</v>
      </c>
      <c r="F68" s="10">
        <f t="shared" si="17"/>
        <v>478.80000000000007</v>
      </c>
      <c r="G68" s="10">
        <f t="shared" si="17"/>
        <v>508.72500000000014</v>
      </c>
      <c r="H68" s="10">
        <f t="shared" si="17"/>
        <v>538.65000000000009</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648.27</v>
      </c>
      <c r="C70" s="10">
        <f t="shared" ref="C70:H70" si="20">(B70/B$65)*C$65</f>
        <v>702.29250000000002</v>
      </c>
      <c r="D70" s="10">
        <f t="shared" si="20"/>
        <v>756.31500000000005</v>
      </c>
      <c r="E70" s="10">
        <f t="shared" si="20"/>
        <v>810.3375000000002</v>
      </c>
      <c r="F70" s="10">
        <f t="shared" si="20"/>
        <v>864.36000000000024</v>
      </c>
      <c r="G70" s="10">
        <f t="shared" si="20"/>
        <v>918.38250000000028</v>
      </c>
      <c r="H70" s="10">
        <f t="shared" si="20"/>
        <v>972.40500000000031</v>
      </c>
    </row>
    <row r="71" spans="1:8">
      <c r="A71" s="10" t="str">
        <f t="shared" si="16"/>
        <v>Maize</v>
      </c>
      <c r="B71" s="10">
        <f t="shared" si="18"/>
        <v>4050</v>
      </c>
      <c r="C71" s="10">
        <f t="shared" ref="C71:H71" si="21">(B71/B$65)*C$65</f>
        <v>4387.5</v>
      </c>
      <c r="D71" s="10">
        <f t="shared" si="21"/>
        <v>4725</v>
      </c>
      <c r="E71" s="10">
        <f t="shared" si="21"/>
        <v>5062.5</v>
      </c>
      <c r="F71" s="10">
        <f t="shared" si="21"/>
        <v>5400</v>
      </c>
      <c r="G71" s="10">
        <f t="shared" si="21"/>
        <v>5737.5000000000009</v>
      </c>
      <c r="H71" s="10">
        <f t="shared" si="21"/>
        <v>6075.0000000000009</v>
      </c>
    </row>
    <row r="72" spans="1:8">
      <c r="A72" s="10" t="str">
        <f t="shared" si="16"/>
        <v>Black Gram/Udid</v>
      </c>
      <c r="B72" s="10">
        <f t="shared" si="18"/>
        <v>510.29999999999995</v>
      </c>
      <c r="C72" s="10">
        <f t="shared" ref="C72:H72" si="22">(B72/B$65)*C$65</f>
        <v>552.82500000000005</v>
      </c>
      <c r="D72" s="10">
        <f t="shared" si="22"/>
        <v>595.35</v>
      </c>
      <c r="E72" s="10">
        <f t="shared" si="22"/>
        <v>637.87500000000011</v>
      </c>
      <c r="F72" s="10">
        <f t="shared" si="22"/>
        <v>680.40000000000009</v>
      </c>
      <c r="G72" s="10">
        <f t="shared" si="22"/>
        <v>722.92500000000018</v>
      </c>
      <c r="H72" s="10">
        <f t="shared" si="22"/>
        <v>765.45000000000016</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182.25</v>
      </c>
      <c r="C77" s="10">
        <f t="shared" ref="C77:H77" si="28">(B77/B$65)*C$65</f>
        <v>197.4375</v>
      </c>
      <c r="D77" s="10">
        <f t="shared" si="28"/>
        <v>212.62500000000003</v>
      </c>
      <c r="E77" s="10">
        <f t="shared" si="28"/>
        <v>227.81250000000003</v>
      </c>
      <c r="F77" s="10">
        <f t="shared" si="28"/>
        <v>243.00000000000006</v>
      </c>
      <c r="G77" s="10">
        <f t="shared" si="28"/>
        <v>258.18750000000006</v>
      </c>
      <c r="H77" s="10">
        <f t="shared" si="28"/>
        <v>273.37500000000006</v>
      </c>
    </row>
    <row r="78" spans="1:8">
      <c r="A78" s="10" t="str">
        <f t="shared" si="16"/>
        <v>Jawar</v>
      </c>
      <c r="B78" s="10">
        <f t="shared" si="26"/>
        <v>384.75</v>
      </c>
      <c r="C78" s="10">
        <f t="shared" ref="C78:H78" si="29">(B78/B$65)*C$65</f>
        <v>416.8125</v>
      </c>
      <c r="D78" s="10">
        <f t="shared" si="29"/>
        <v>448.87500000000006</v>
      </c>
      <c r="E78" s="10">
        <f t="shared" si="29"/>
        <v>480.93750000000006</v>
      </c>
      <c r="F78" s="10">
        <f t="shared" si="29"/>
        <v>513.00000000000011</v>
      </c>
      <c r="G78" s="10">
        <f t="shared" si="29"/>
        <v>545.06250000000011</v>
      </c>
      <c r="H78" s="10">
        <f t="shared" si="29"/>
        <v>577.12500000000011</v>
      </c>
    </row>
    <row r="79" spans="1:8">
      <c r="A79" s="10" t="str">
        <f t="shared" si="16"/>
        <v>Maize</v>
      </c>
      <c r="B79" s="10">
        <f t="shared" si="26"/>
        <v>648</v>
      </c>
      <c r="C79" s="10">
        <f t="shared" ref="C79:H79" si="30">(B79/B$65)*C$65</f>
        <v>702</v>
      </c>
      <c r="D79" s="10">
        <f t="shared" si="30"/>
        <v>756.00000000000011</v>
      </c>
      <c r="E79" s="10">
        <f t="shared" si="30"/>
        <v>810.00000000000011</v>
      </c>
      <c r="F79" s="10">
        <f t="shared" si="30"/>
        <v>864.00000000000011</v>
      </c>
      <c r="G79" s="10">
        <f t="shared" si="30"/>
        <v>918.00000000000023</v>
      </c>
      <c r="H79" s="10">
        <f t="shared" si="30"/>
        <v>972.00000000000023</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9"/>
      <c r="C88" s="299"/>
      <c r="D88" s="299"/>
      <c r="E88" s="299"/>
      <c r="F88" s="299"/>
      <c r="G88" s="299"/>
      <c r="H88" s="299"/>
      <c r="I88" s="299"/>
    </row>
    <row r="89" spans="1:9">
      <c r="A89" s="487" t="s">
        <v>591</v>
      </c>
      <c r="B89" s="488"/>
      <c r="C89" s="488"/>
      <c r="D89" s="488"/>
      <c r="E89" s="488"/>
      <c r="F89" s="488"/>
      <c r="G89" s="488"/>
      <c r="H89" s="489"/>
    </row>
    <row r="90" spans="1:9">
      <c r="A90" s="471" t="s">
        <v>0</v>
      </c>
      <c r="B90" s="345">
        <v>0.65</v>
      </c>
      <c r="C90" s="346">
        <f>B90+0.05</f>
        <v>0.70000000000000007</v>
      </c>
      <c r="D90" s="346">
        <f t="shared" ref="D90:G90" si="39">C90+0.05</f>
        <v>0.75000000000000011</v>
      </c>
      <c r="E90" s="346">
        <f t="shared" si="39"/>
        <v>0.80000000000000016</v>
      </c>
      <c r="F90" s="346">
        <f t="shared" si="39"/>
        <v>0.8500000000000002</v>
      </c>
      <c r="G90" s="346">
        <f t="shared" si="39"/>
        <v>0.90000000000000024</v>
      </c>
      <c r="H90" s="346">
        <f>G90+0.05</f>
        <v>0.95000000000000029</v>
      </c>
    </row>
    <row r="91" spans="1:9">
      <c r="A91" s="472"/>
      <c r="B91" s="311" t="s">
        <v>2</v>
      </c>
      <c r="C91" s="311" t="s">
        <v>3</v>
      </c>
      <c r="D91" s="311" t="s">
        <v>4</v>
      </c>
      <c r="E91" s="311" t="s">
        <v>5</v>
      </c>
      <c r="F91" s="311" t="s">
        <v>6</v>
      </c>
      <c r="G91" s="311" t="s">
        <v>171</v>
      </c>
      <c r="H91" s="311" t="s">
        <v>170</v>
      </c>
    </row>
    <row r="92" spans="1:9" s="13" customFormat="1">
      <c r="A92" s="10" t="str">
        <f t="shared" ref="A92:A112" si="40">A67</f>
        <v>Soybean</v>
      </c>
      <c r="B92" s="10">
        <f t="shared" ref="B92:B94" si="41">D14*$B$90</f>
        <v>175.5</v>
      </c>
      <c r="C92" s="308">
        <f t="shared" ref="C92:H92" si="42">(B92/B$90)*C$90</f>
        <v>189.00000000000003</v>
      </c>
      <c r="D92" s="308">
        <f t="shared" si="42"/>
        <v>202.50000000000003</v>
      </c>
      <c r="E92" s="308">
        <f t="shared" si="42"/>
        <v>216.00000000000003</v>
      </c>
      <c r="F92" s="308">
        <f t="shared" si="42"/>
        <v>229.50000000000006</v>
      </c>
      <c r="G92" s="308">
        <f t="shared" si="42"/>
        <v>243.00000000000006</v>
      </c>
      <c r="H92" s="308">
        <f t="shared" si="42"/>
        <v>256.50000000000006</v>
      </c>
    </row>
    <row r="93" spans="1:9">
      <c r="A93" s="10" t="str">
        <f t="shared" si="40"/>
        <v>Red Gram/Tur</v>
      </c>
      <c r="B93" s="10">
        <v>0</v>
      </c>
      <c r="C93" s="308">
        <f t="shared" ref="C93:C113" si="43">(B93/B$90)*C$90</f>
        <v>0</v>
      </c>
      <c r="D93" s="308">
        <f>(C93/C90)*D90</f>
        <v>0</v>
      </c>
      <c r="E93" s="308">
        <f t="shared" ref="E93:G93" si="44">(D93/D90)*E90</f>
        <v>0</v>
      </c>
      <c r="F93" s="308">
        <f t="shared" si="44"/>
        <v>0</v>
      </c>
      <c r="G93" s="308">
        <f t="shared" si="44"/>
        <v>0</v>
      </c>
      <c r="H93" s="308">
        <f>(G93/G90)*H90</f>
        <v>0</v>
      </c>
    </row>
    <row r="94" spans="1:9">
      <c r="A94" s="10" t="str">
        <f t="shared" si="40"/>
        <v>Paddy/Rice</v>
      </c>
      <c r="B94" s="10">
        <f t="shared" si="41"/>
        <v>0</v>
      </c>
      <c r="C94" s="308">
        <f t="shared" si="43"/>
        <v>0</v>
      </c>
      <c r="D94" s="308">
        <f t="shared" ref="D94:H103" si="45">(C94/C$90)*D$90</f>
        <v>0</v>
      </c>
      <c r="E94" s="308">
        <f t="shared" si="45"/>
        <v>0</v>
      </c>
      <c r="F94" s="308">
        <f t="shared" si="45"/>
        <v>0</v>
      </c>
      <c r="G94" s="308">
        <f t="shared" si="45"/>
        <v>0</v>
      </c>
      <c r="H94" s="308">
        <f t="shared" si="45"/>
        <v>0</v>
      </c>
    </row>
    <row r="95" spans="1:9">
      <c r="A95" s="10" t="str">
        <f t="shared" si="40"/>
        <v>Green Gram/ Moong</v>
      </c>
      <c r="B95" s="10">
        <v>0</v>
      </c>
      <c r="C95" s="308">
        <f t="shared" si="43"/>
        <v>0</v>
      </c>
      <c r="D95" s="308">
        <f t="shared" si="45"/>
        <v>0</v>
      </c>
      <c r="E95" s="308">
        <f t="shared" si="45"/>
        <v>0</v>
      </c>
      <c r="F95" s="308">
        <f t="shared" si="45"/>
        <v>0</v>
      </c>
      <c r="G95" s="308">
        <f t="shared" si="45"/>
        <v>0</v>
      </c>
      <c r="H95" s="308">
        <f t="shared" si="45"/>
        <v>0</v>
      </c>
    </row>
    <row r="96" spans="1:9">
      <c r="A96" s="10" t="str">
        <f t="shared" si="40"/>
        <v>Maize</v>
      </c>
      <c r="B96" s="308">
        <v>0</v>
      </c>
      <c r="C96" s="308">
        <f t="shared" si="43"/>
        <v>0</v>
      </c>
      <c r="D96" s="308">
        <f t="shared" si="45"/>
        <v>0</v>
      </c>
      <c r="E96" s="308">
        <f t="shared" si="45"/>
        <v>0</v>
      </c>
      <c r="F96" s="308">
        <f t="shared" si="45"/>
        <v>0</v>
      </c>
      <c r="G96" s="308">
        <f t="shared" si="45"/>
        <v>0</v>
      </c>
      <c r="H96" s="308">
        <f t="shared" si="45"/>
        <v>0</v>
      </c>
    </row>
    <row r="97" spans="1:8">
      <c r="A97" s="10" t="str">
        <f t="shared" si="40"/>
        <v>Black Gram/Udid</v>
      </c>
      <c r="B97" s="10">
        <v>0</v>
      </c>
      <c r="C97" s="308">
        <f t="shared" si="43"/>
        <v>0</v>
      </c>
      <c r="D97" s="308">
        <f t="shared" si="45"/>
        <v>0</v>
      </c>
      <c r="E97" s="308">
        <f t="shared" si="45"/>
        <v>0</v>
      </c>
      <c r="F97" s="308">
        <f t="shared" si="45"/>
        <v>0</v>
      </c>
      <c r="G97" s="308">
        <f t="shared" si="45"/>
        <v>0</v>
      </c>
      <c r="H97" s="308">
        <f t="shared" si="45"/>
        <v>0</v>
      </c>
    </row>
    <row r="98" spans="1:8">
      <c r="A98" s="10" t="str">
        <f t="shared" si="40"/>
        <v>Bajra</v>
      </c>
      <c r="B98" s="10">
        <v>0</v>
      </c>
      <c r="C98" s="308">
        <f t="shared" si="43"/>
        <v>0</v>
      </c>
      <c r="D98" s="308">
        <f t="shared" si="45"/>
        <v>0</v>
      </c>
      <c r="E98" s="308">
        <f t="shared" si="45"/>
        <v>0</v>
      </c>
      <c r="F98" s="308">
        <f t="shared" si="45"/>
        <v>0</v>
      </c>
      <c r="G98" s="308">
        <f t="shared" si="45"/>
        <v>0</v>
      </c>
      <c r="H98" s="308">
        <f t="shared" si="45"/>
        <v>0</v>
      </c>
    </row>
    <row r="99" spans="1:8">
      <c r="A99" s="10" t="str">
        <f t="shared" si="40"/>
        <v>Jawar</v>
      </c>
      <c r="B99" s="10">
        <v>0</v>
      </c>
      <c r="C99" s="308">
        <f t="shared" si="43"/>
        <v>0</v>
      </c>
      <c r="D99" s="308">
        <f t="shared" si="45"/>
        <v>0</v>
      </c>
      <c r="E99" s="308">
        <f t="shared" si="45"/>
        <v>0</v>
      </c>
      <c r="F99" s="308">
        <f t="shared" si="45"/>
        <v>0</v>
      </c>
      <c r="G99" s="308">
        <f t="shared" si="45"/>
        <v>0</v>
      </c>
      <c r="H99" s="308">
        <f t="shared" si="45"/>
        <v>0</v>
      </c>
    </row>
    <row r="100" spans="1:8">
      <c r="A100" s="10" t="str">
        <f t="shared" si="40"/>
        <v>Sunflower</v>
      </c>
      <c r="B100" s="10">
        <v>0</v>
      </c>
      <c r="C100" s="308">
        <f t="shared" si="43"/>
        <v>0</v>
      </c>
      <c r="D100" s="308">
        <f t="shared" si="45"/>
        <v>0</v>
      </c>
      <c r="E100" s="308">
        <f t="shared" si="45"/>
        <v>0</v>
      </c>
      <c r="F100" s="308">
        <f t="shared" si="45"/>
        <v>0</v>
      </c>
      <c r="G100" s="308">
        <f t="shared" si="45"/>
        <v>0</v>
      </c>
      <c r="H100" s="308">
        <f t="shared" si="45"/>
        <v>0</v>
      </c>
    </row>
    <row r="101" spans="1:8">
      <c r="A101" s="10" t="str">
        <f t="shared" si="40"/>
        <v>Wheat</v>
      </c>
      <c r="B101" s="10">
        <v>0</v>
      </c>
      <c r="C101" s="308">
        <f t="shared" si="43"/>
        <v>0</v>
      </c>
      <c r="D101" s="308">
        <f t="shared" si="45"/>
        <v>0</v>
      </c>
      <c r="E101" s="308">
        <f t="shared" si="45"/>
        <v>0</v>
      </c>
      <c r="F101" s="308">
        <f t="shared" si="45"/>
        <v>0</v>
      </c>
      <c r="G101" s="308">
        <f t="shared" si="45"/>
        <v>0</v>
      </c>
      <c r="H101" s="308">
        <f t="shared" si="45"/>
        <v>0</v>
      </c>
    </row>
    <row r="102" spans="1:8">
      <c r="A102" s="10" t="str">
        <f t="shared" si="40"/>
        <v>Bengal Gram/Channa</v>
      </c>
      <c r="B102" s="10">
        <v>0</v>
      </c>
      <c r="C102" s="308">
        <f t="shared" si="43"/>
        <v>0</v>
      </c>
      <c r="D102" s="308">
        <f t="shared" si="45"/>
        <v>0</v>
      </c>
      <c r="E102" s="308">
        <f t="shared" si="45"/>
        <v>0</v>
      </c>
      <c r="F102" s="308">
        <f t="shared" si="45"/>
        <v>0</v>
      </c>
      <c r="G102" s="308">
        <f t="shared" si="45"/>
        <v>0</v>
      </c>
      <c r="H102" s="308">
        <f t="shared" si="45"/>
        <v>0</v>
      </c>
    </row>
    <row r="103" spans="1:8">
      <c r="A103" s="10" t="str">
        <f t="shared" si="40"/>
        <v>Jawar</v>
      </c>
      <c r="B103" s="10">
        <v>0</v>
      </c>
      <c r="C103" s="308">
        <f t="shared" si="43"/>
        <v>0</v>
      </c>
      <c r="D103" s="308">
        <f t="shared" si="45"/>
        <v>0</v>
      </c>
      <c r="E103" s="308">
        <f t="shared" si="45"/>
        <v>0</v>
      </c>
      <c r="F103" s="308">
        <f t="shared" si="45"/>
        <v>0</v>
      </c>
      <c r="G103" s="308">
        <f t="shared" si="45"/>
        <v>0</v>
      </c>
      <c r="H103" s="308">
        <f t="shared" si="45"/>
        <v>0</v>
      </c>
    </row>
    <row r="104" spans="1:8">
      <c r="A104" s="10" t="str">
        <f t="shared" si="40"/>
        <v>Maize</v>
      </c>
      <c r="B104" s="10">
        <f t="shared" ref="B104:B108" si="46">D27*$B$90</f>
        <v>35.1</v>
      </c>
      <c r="C104" s="308">
        <f t="shared" si="43"/>
        <v>37.800000000000004</v>
      </c>
      <c r="D104" s="308">
        <f t="shared" ref="D104:H113" si="47">(C104/C$90)*D$90</f>
        <v>40.500000000000007</v>
      </c>
      <c r="E104" s="308">
        <f t="shared" si="47"/>
        <v>43.20000000000001</v>
      </c>
      <c r="F104" s="308">
        <f t="shared" si="47"/>
        <v>45.900000000000013</v>
      </c>
      <c r="G104" s="308">
        <f t="shared" si="47"/>
        <v>48.600000000000016</v>
      </c>
      <c r="H104" s="308">
        <f t="shared" si="47"/>
        <v>51.300000000000018</v>
      </c>
    </row>
    <row r="105" spans="1:8">
      <c r="A105" s="10" t="str">
        <f t="shared" si="40"/>
        <v>Safflower</v>
      </c>
      <c r="B105" s="10">
        <f t="shared" si="46"/>
        <v>0</v>
      </c>
      <c r="C105" s="308">
        <f t="shared" si="43"/>
        <v>0</v>
      </c>
      <c r="D105" s="308">
        <f t="shared" si="47"/>
        <v>0</v>
      </c>
      <c r="E105" s="308">
        <f t="shared" si="47"/>
        <v>0</v>
      </c>
      <c r="F105" s="308">
        <f t="shared" si="47"/>
        <v>0</v>
      </c>
      <c r="G105" s="308">
        <f t="shared" si="47"/>
        <v>0</v>
      </c>
      <c r="H105" s="308">
        <f t="shared" si="47"/>
        <v>0</v>
      </c>
    </row>
    <row r="106" spans="1:8">
      <c r="A106" s="10">
        <f t="shared" si="40"/>
        <v>0</v>
      </c>
      <c r="B106" s="10">
        <f t="shared" si="46"/>
        <v>0</v>
      </c>
      <c r="C106" s="308">
        <f t="shared" si="43"/>
        <v>0</v>
      </c>
      <c r="D106" s="308">
        <f t="shared" si="47"/>
        <v>0</v>
      </c>
      <c r="E106" s="308">
        <f t="shared" si="47"/>
        <v>0</v>
      </c>
      <c r="F106" s="308">
        <f t="shared" si="47"/>
        <v>0</v>
      </c>
      <c r="G106" s="308">
        <f t="shared" si="47"/>
        <v>0</v>
      </c>
      <c r="H106" s="308">
        <f t="shared" si="47"/>
        <v>0</v>
      </c>
    </row>
    <row r="107" spans="1:8">
      <c r="A107" s="10">
        <f t="shared" si="40"/>
        <v>0</v>
      </c>
      <c r="B107" s="10">
        <f t="shared" si="46"/>
        <v>0</v>
      </c>
      <c r="C107" s="308">
        <f t="shared" si="43"/>
        <v>0</v>
      </c>
      <c r="D107" s="308">
        <f t="shared" si="47"/>
        <v>0</v>
      </c>
      <c r="E107" s="308">
        <f t="shared" si="47"/>
        <v>0</v>
      </c>
      <c r="F107" s="308">
        <f t="shared" si="47"/>
        <v>0</v>
      </c>
      <c r="G107" s="308">
        <f t="shared" si="47"/>
        <v>0</v>
      </c>
      <c r="H107" s="308">
        <f t="shared" si="47"/>
        <v>0</v>
      </c>
    </row>
    <row r="108" spans="1:8">
      <c r="A108" s="10">
        <f t="shared" si="40"/>
        <v>0</v>
      </c>
      <c r="B108" s="10">
        <f t="shared" si="46"/>
        <v>0</v>
      </c>
      <c r="C108" s="308">
        <f t="shared" si="43"/>
        <v>0</v>
      </c>
      <c r="D108" s="308">
        <f t="shared" si="47"/>
        <v>0</v>
      </c>
      <c r="E108" s="308">
        <f t="shared" si="47"/>
        <v>0</v>
      </c>
      <c r="F108" s="308">
        <f t="shared" si="47"/>
        <v>0</v>
      </c>
      <c r="G108" s="308">
        <f t="shared" si="47"/>
        <v>0</v>
      </c>
      <c r="H108" s="308">
        <f t="shared" si="47"/>
        <v>0</v>
      </c>
    </row>
    <row r="109" spans="1:8">
      <c r="A109" s="10" t="str">
        <f t="shared" si="40"/>
        <v>Groundnut</v>
      </c>
      <c r="B109" s="10">
        <f>D33*$B$90</f>
        <v>0</v>
      </c>
      <c r="C109" s="308">
        <f t="shared" si="43"/>
        <v>0</v>
      </c>
      <c r="D109" s="308">
        <f t="shared" si="47"/>
        <v>0</v>
      </c>
      <c r="E109" s="308">
        <f t="shared" si="47"/>
        <v>0</v>
      </c>
      <c r="F109" s="308">
        <f t="shared" si="47"/>
        <v>0</v>
      </c>
      <c r="G109" s="308">
        <f t="shared" si="47"/>
        <v>0</v>
      </c>
      <c r="H109" s="308">
        <f t="shared" si="47"/>
        <v>0</v>
      </c>
    </row>
    <row r="110" spans="1:8">
      <c r="A110" s="10">
        <f t="shared" si="40"/>
        <v>0</v>
      </c>
      <c r="B110" s="10">
        <f>D34*$B$90</f>
        <v>0</v>
      </c>
      <c r="C110" s="308">
        <f t="shared" si="43"/>
        <v>0</v>
      </c>
      <c r="D110" s="308">
        <f t="shared" si="47"/>
        <v>0</v>
      </c>
      <c r="E110" s="308">
        <f t="shared" si="47"/>
        <v>0</v>
      </c>
      <c r="F110" s="308">
        <f t="shared" si="47"/>
        <v>0</v>
      </c>
      <c r="G110" s="308">
        <f t="shared" si="47"/>
        <v>0</v>
      </c>
      <c r="H110" s="308">
        <f t="shared" si="47"/>
        <v>0</v>
      </c>
    </row>
    <row r="111" spans="1:8">
      <c r="A111" s="10">
        <f t="shared" si="40"/>
        <v>0</v>
      </c>
      <c r="B111" s="10">
        <f>D34*$B$90</f>
        <v>0</v>
      </c>
      <c r="C111" s="308">
        <f t="shared" si="43"/>
        <v>0</v>
      </c>
      <c r="D111" s="308">
        <f t="shared" si="47"/>
        <v>0</v>
      </c>
      <c r="E111" s="308">
        <f t="shared" si="47"/>
        <v>0</v>
      </c>
      <c r="F111" s="308">
        <f t="shared" si="47"/>
        <v>0</v>
      </c>
      <c r="G111" s="308">
        <f t="shared" si="47"/>
        <v>0</v>
      </c>
      <c r="H111" s="308">
        <f t="shared" si="47"/>
        <v>0</v>
      </c>
    </row>
    <row r="112" spans="1:8">
      <c r="A112" s="10">
        <f t="shared" si="40"/>
        <v>0</v>
      </c>
      <c r="B112" s="10">
        <f>D36*$B$90</f>
        <v>0</v>
      </c>
      <c r="C112" s="308">
        <f t="shared" si="43"/>
        <v>0</v>
      </c>
      <c r="D112" s="308">
        <f t="shared" si="47"/>
        <v>0</v>
      </c>
      <c r="E112" s="308">
        <f t="shared" si="47"/>
        <v>0</v>
      </c>
      <c r="F112" s="308">
        <f t="shared" si="47"/>
        <v>0</v>
      </c>
      <c r="G112" s="308">
        <f t="shared" si="47"/>
        <v>0</v>
      </c>
      <c r="H112" s="308">
        <f t="shared" si="47"/>
        <v>0</v>
      </c>
    </row>
    <row r="113" spans="1:9">
      <c r="A113" s="10"/>
      <c r="B113" s="10">
        <f>D37*$B$90</f>
        <v>0</v>
      </c>
      <c r="C113" s="308">
        <f t="shared" si="43"/>
        <v>0</v>
      </c>
      <c r="D113" s="308">
        <f t="shared" si="47"/>
        <v>0</v>
      </c>
      <c r="E113" s="308">
        <f t="shared" si="47"/>
        <v>0</v>
      </c>
      <c r="F113" s="308">
        <f t="shared" si="47"/>
        <v>0</v>
      </c>
      <c r="G113" s="308">
        <f t="shared" si="47"/>
        <v>0</v>
      </c>
      <c r="H113" s="308">
        <f t="shared" si="47"/>
        <v>0</v>
      </c>
    </row>
    <row r="115" spans="1:9">
      <c r="C115" s="4"/>
      <c r="D115" s="6"/>
      <c r="E115" s="6"/>
      <c r="F115" s="6"/>
      <c r="G115" s="6"/>
      <c r="H115" s="6"/>
      <c r="I115" s="6"/>
    </row>
    <row r="116" spans="1:9">
      <c r="A116" t="s">
        <v>559</v>
      </c>
      <c r="C116" s="309"/>
      <c r="D116" s="309"/>
      <c r="E116" s="309"/>
      <c r="F116" s="309"/>
      <c r="G116" s="309"/>
      <c r="H116" s="309"/>
      <c r="I116" s="309"/>
    </row>
    <row r="117" spans="1:9">
      <c r="A117">
        <v>1</v>
      </c>
      <c r="B117" t="s">
        <v>614</v>
      </c>
    </row>
    <row r="118" spans="1:9">
      <c r="A118">
        <v>2</v>
      </c>
      <c r="B118" t="s">
        <v>615</v>
      </c>
    </row>
    <row r="119" spans="1:9">
      <c r="A119">
        <v>3</v>
      </c>
      <c r="B119" t="s">
        <v>562</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scale="68" orientation="landscape" r:id="rId1"/>
  <rowBreaks count="1" manualBreakCount="1">
    <brk id="38"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84" zoomScale="85" zoomScaleSheetLayoutView="85" workbookViewId="0">
      <selection activeCell="B8" sqref="B8"/>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1" t="s">
        <v>514</v>
      </c>
      <c r="B1" s="421"/>
      <c r="C1" s="421"/>
      <c r="D1" s="421"/>
      <c r="E1" s="421"/>
      <c r="F1" s="421"/>
      <c r="G1" s="421"/>
      <c r="H1" s="421"/>
    </row>
    <row r="2" spans="1:26">
      <c r="B2" s="4"/>
    </row>
    <row r="3" spans="1:26" ht="18.75">
      <c r="A3" s="470" t="s">
        <v>592</v>
      </c>
      <c r="B3" s="470"/>
    </row>
    <row r="4" spans="1:26">
      <c r="A4" s="293" t="s">
        <v>0</v>
      </c>
      <c r="B4" s="311" t="s">
        <v>401</v>
      </c>
      <c r="C4" s="312"/>
      <c r="D4" s="312"/>
      <c r="E4" s="312"/>
      <c r="F4" s="312"/>
      <c r="G4" s="312"/>
      <c r="H4" s="312"/>
    </row>
    <row r="5" spans="1:26">
      <c r="A5" s="10" t="s">
        <v>507</v>
      </c>
      <c r="B5" s="289"/>
      <c r="C5" s="313"/>
      <c r="D5" s="314"/>
      <c r="E5" s="314"/>
      <c r="F5" s="314"/>
      <c r="G5" s="314"/>
      <c r="H5" s="314"/>
    </row>
    <row r="6" spans="1:26">
      <c r="A6" s="10" t="s">
        <v>508</v>
      </c>
      <c r="B6" s="289"/>
      <c r="C6" s="313"/>
      <c r="D6" s="314"/>
      <c r="E6" s="314"/>
      <c r="F6" s="314"/>
      <c r="G6" s="314"/>
      <c r="H6" s="314"/>
    </row>
    <row r="7" spans="1:26">
      <c r="A7" s="2" t="s">
        <v>1</v>
      </c>
      <c r="B7" s="337">
        <f>B5+B6</f>
        <v>0</v>
      </c>
      <c r="C7" s="315"/>
      <c r="D7" s="316"/>
      <c r="E7" s="316"/>
      <c r="F7" s="316"/>
      <c r="G7" s="316"/>
      <c r="H7" s="316"/>
    </row>
    <row r="8" spans="1:26">
      <c r="A8" s="2" t="s">
        <v>509</v>
      </c>
      <c r="B8" s="336">
        <v>1</v>
      </c>
      <c r="C8" s="315"/>
      <c r="D8" s="315"/>
      <c r="E8" s="315"/>
      <c r="F8" s="315"/>
      <c r="G8" s="315"/>
      <c r="H8" s="315"/>
    </row>
    <row r="9" spans="1:26">
      <c r="A9" s="2" t="s">
        <v>510</v>
      </c>
      <c r="B9" s="337">
        <f>B7*B8</f>
        <v>0</v>
      </c>
      <c r="C9" s="316"/>
      <c r="D9" s="316"/>
      <c r="E9" s="316"/>
      <c r="F9" s="316"/>
      <c r="G9" s="316"/>
      <c r="H9" s="316"/>
    </row>
    <row r="10" spans="1:26">
      <c r="J10" t="s">
        <v>466</v>
      </c>
      <c r="O10" t="s">
        <v>462</v>
      </c>
      <c r="U10" t="s">
        <v>463</v>
      </c>
      <c r="Y10" t="s">
        <v>464</v>
      </c>
      <c r="Z10" t="s">
        <v>465</v>
      </c>
    </row>
    <row r="11" spans="1:26" ht="18.75">
      <c r="A11" s="421" t="s">
        <v>593</v>
      </c>
      <c r="B11" s="421"/>
      <c r="C11" s="421"/>
      <c r="D11" s="421"/>
      <c r="E11" s="421"/>
      <c r="F11" s="421"/>
      <c r="G11" s="421"/>
      <c r="H11" s="421"/>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405</v>
      </c>
      <c r="B13" s="293" t="s">
        <v>406</v>
      </c>
      <c r="C13" s="294" t="s">
        <v>459</v>
      </c>
      <c r="D13" s="294" t="s">
        <v>467</v>
      </c>
      <c r="E13" s="294" t="s">
        <v>468</v>
      </c>
      <c r="F13" s="294" t="s">
        <v>407</v>
      </c>
      <c r="G13" s="294" t="s">
        <v>662</v>
      </c>
      <c r="H13" s="294" t="s">
        <v>408</v>
      </c>
      <c r="O13" s="306" t="s">
        <v>2</v>
      </c>
      <c r="P13" s="306" t="s">
        <v>3</v>
      </c>
      <c r="Q13" s="306" t="s">
        <v>4</v>
      </c>
      <c r="R13" s="306" t="s">
        <v>5</v>
      </c>
      <c r="S13" s="306" t="s">
        <v>6</v>
      </c>
      <c r="T13" s="306" t="s">
        <v>2</v>
      </c>
      <c r="U13" s="306" t="s">
        <v>3</v>
      </c>
      <c r="V13" s="306" t="s">
        <v>4</v>
      </c>
      <c r="W13" s="306" t="s">
        <v>5</v>
      </c>
      <c r="X13" s="306" t="s">
        <v>6</v>
      </c>
    </row>
    <row r="14" spans="1:26">
      <c r="A14" s="474" t="s">
        <v>409</v>
      </c>
      <c r="B14" s="289" t="s">
        <v>497</v>
      </c>
      <c r="C14" s="304">
        <v>0</v>
      </c>
      <c r="D14" s="10">
        <f t="shared" ref="D14:D40" si="3">$B$9*C14</f>
        <v>0</v>
      </c>
      <c r="E14" s="290">
        <v>15</v>
      </c>
      <c r="F14" s="10">
        <f>D14*E14</f>
        <v>0</v>
      </c>
      <c r="G14" s="305">
        <v>0.1</v>
      </c>
      <c r="H14" s="10">
        <f>(F14-F14*G14)</f>
        <v>0</v>
      </c>
      <c r="J14">
        <f>$D$14*J12</f>
        <v>0</v>
      </c>
      <c r="K14">
        <f>$D$14*K12</f>
        <v>0</v>
      </c>
      <c r="L14">
        <f>$D$14*L12</f>
        <v>0</v>
      </c>
      <c r="M14">
        <f>$D$14*M12</f>
        <v>0</v>
      </c>
      <c r="N14">
        <f>$D$14*N12</f>
        <v>0</v>
      </c>
    </row>
    <row r="15" spans="1:26">
      <c r="A15" s="475"/>
      <c r="B15" s="289" t="s">
        <v>498</v>
      </c>
      <c r="C15" s="304">
        <v>0</v>
      </c>
      <c r="D15" s="10">
        <f t="shared" si="3"/>
        <v>0</v>
      </c>
      <c r="E15" s="290">
        <v>7</v>
      </c>
      <c r="F15" s="10">
        <f t="shared" ref="F15:F40" si="4">D15*E15</f>
        <v>0</v>
      </c>
      <c r="G15" s="305">
        <v>0.05</v>
      </c>
      <c r="H15" s="10">
        <f>(F15-F15*G15)</f>
        <v>0</v>
      </c>
    </row>
    <row r="16" spans="1:26">
      <c r="A16" s="475"/>
      <c r="B16" s="289" t="s">
        <v>499</v>
      </c>
      <c r="C16" s="304">
        <v>0</v>
      </c>
      <c r="D16" s="10">
        <f t="shared" si="3"/>
        <v>0</v>
      </c>
      <c r="E16" s="290">
        <v>4</v>
      </c>
      <c r="F16" s="10">
        <f t="shared" si="4"/>
        <v>0</v>
      </c>
      <c r="G16" s="305">
        <v>0</v>
      </c>
      <c r="H16" s="10">
        <f t="shared" ref="H16:H40" si="5">(F16-F16*G16)</f>
        <v>0</v>
      </c>
    </row>
    <row r="17" spans="1:8">
      <c r="A17" s="475"/>
      <c r="B17" s="289" t="s">
        <v>500</v>
      </c>
      <c r="C17" s="304">
        <v>0</v>
      </c>
      <c r="D17" s="10">
        <f t="shared" si="3"/>
        <v>0</v>
      </c>
      <c r="E17" s="290">
        <v>7</v>
      </c>
      <c r="F17" s="10">
        <f t="shared" si="4"/>
        <v>0</v>
      </c>
      <c r="G17" s="305">
        <v>0.02</v>
      </c>
      <c r="H17" s="10">
        <f t="shared" si="5"/>
        <v>0</v>
      </c>
    </row>
    <row r="18" spans="1:8">
      <c r="A18" s="475"/>
      <c r="B18" s="289" t="s">
        <v>502</v>
      </c>
      <c r="C18" s="304">
        <v>0</v>
      </c>
      <c r="D18" s="10">
        <f t="shared" si="3"/>
        <v>0</v>
      </c>
      <c r="E18" s="290">
        <v>20</v>
      </c>
      <c r="F18" s="10">
        <f t="shared" si="4"/>
        <v>0</v>
      </c>
      <c r="G18" s="305">
        <v>0</v>
      </c>
      <c r="H18" s="10">
        <f t="shared" si="5"/>
        <v>0</v>
      </c>
    </row>
    <row r="19" spans="1:8">
      <c r="A19" s="475"/>
      <c r="B19" s="289"/>
      <c r="C19" s="304">
        <v>0</v>
      </c>
      <c r="D19" s="10">
        <f t="shared" si="3"/>
        <v>0</v>
      </c>
      <c r="E19" s="290">
        <v>7</v>
      </c>
      <c r="F19" s="10">
        <f t="shared" si="4"/>
        <v>0</v>
      </c>
      <c r="G19" s="305">
        <v>0.1</v>
      </c>
      <c r="H19" s="10">
        <f t="shared" si="5"/>
        <v>0</v>
      </c>
    </row>
    <row r="20" spans="1:8">
      <c r="A20" s="475"/>
      <c r="B20" s="289"/>
      <c r="C20" s="304">
        <v>0</v>
      </c>
      <c r="D20" s="10">
        <f t="shared" si="3"/>
        <v>0</v>
      </c>
      <c r="E20" s="290">
        <v>6</v>
      </c>
      <c r="F20" s="10">
        <f t="shared" si="4"/>
        <v>0</v>
      </c>
      <c r="G20" s="305">
        <v>0.02</v>
      </c>
      <c r="H20" s="10">
        <f t="shared" si="5"/>
        <v>0</v>
      </c>
    </row>
    <row r="21" spans="1:8">
      <c r="A21" s="475"/>
      <c r="B21" s="289"/>
      <c r="C21" s="304">
        <v>0</v>
      </c>
      <c r="D21" s="10">
        <f t="shared" si="3"/>
        <v>0</v>
      </c>
      <c r="E21" s="290"/>
      <c r="F21" s="10">
        <f t="shared" si="4"/>
        <v>0</v>
      </c>
      <c r="G21" s="305">
        <v>0</v>
      </c>
      <c r="H21" s="10">
        <f t="shared" si="5"/>
        <v>0</v>
      </c>
    </row>
    <row r="22" spans="1:8">
      <c r="A22" s="476"/>
      <c r="B22" s="289"/>
      <c r="C22" s="304">
        <v>0</v>
      </c>
      <c r="D22" s="10">
        <f t="shared" si="3"/>
        <v>0</v>
      </c>
      <c r="E22" s="290"/>
      <c r="F22" s="10">
        <f t="shared" si="4"/>
        <v>0</v>
      </c>
      <c r="G22" s="305">
        <v>0</v>
      </c>
      <c r="H22" s="10">
        <f t="shared" si="5"/>
        <v>0</v>
      </c>
    </row>
    <row r="23" spans="1:8">
      <c r="A23" s="335" t="s">
        <v>515</v>
      </c>
      <c r="B23" s="329"/>
      <c r="C23" s="330">
        <f>B9*B23</f>
        <v>0</v>
      </c>
      <c r="D23" s="10"/>
      <c r="E23" s="290"/>
      <c r="F23" s="10"/>
      <c r="G23" s="305"/>
      <c r="H23" s="10"/>
    </row>
    <row r="24" spans="1:8">
      <c r="A24" s="474" t="s">
        <v>411</v>
      </c>
      <c r="B24" s="289" t="s">
        <v>497</v>
      </c>
      <c r="C24" s="304">
        <v>0</v>
      </c>
      <c r="D24" s="10">
        <f>C$23*C24</f>
        <v>0</v>
      </c>
      <c r="E24" s="290">
        <v>10</v>
      </c>
      <c r="F24" s="10">
        <f t="shared" si="4"/>
        <v>0</v>
      </c>
      <c r="G24" s="305">
        <v>0.1</v>
      </c>
      <c r="H24" s="10">
        <f t="shared" si="5"/>
        <v>0</v>
      </c>
    </row>
    <row r="25" spans="1:8">
      <c r="A25" s="475"/>
      <c r="B25" s="289" t="s">
        <v>498</v>
      </c>
      <c r="C25" s="304">
        <v>0</v>
      </c>
      <c r="D25" s="10">
        <f>C$23*C25</f>
        <v>0</v>
      </c>
      <c r="E25" s="290">
        <v>10</v>
      </c>
      <c r="F25" s="10">
        <f t="shared" si="4"/>
        <v>0</v>
      </c>
      <c r="G25" s="305">
        <v>0.1</v>
      </c>
      <c r="H25" s="10">
        <f t="shared" si="5"/>
        <v>0</v>
      </c>
    </row>
    <row r="26" spans="1:8">
      <c r="A26" s="475"/>
      <c r="B26" s="289" t="s">
        <v>499</v>
      </c>
      <c r="C26" s="304">
        <v>0</v>
      </c>
      <c r="D26" s="10">
        <f>C$23*C26</f>
        <v>0</v>
      </c>
      <c r="E26" s="290">
        <v>10</v>
      </c>
      <c r="F26" s="10">
        <f t="shared" si="4"/>
        <v>0</v>
      </c>
      <c r="G26" s="305">
        <v>0.05</v>
      </c>
      <c r="H26" s="10">
        <f t="shared" si="5"/>
        <v>0</v>
      </c>
    </row>
    <row r="27" spans="1:8">
      <c r="A27" s="475"/>
      <c r="B27" s="289" t="s">
        <v>500</v>
      </c>
      <c r="C27" s="304">
        <v>0</v>
      </c>
      <c r="D27" s="10">
        <f t="shared" ref="D27:D31" si="6">C$23*C27</f>
        <v>0</v>
      </c>
      <c r="E27" s="290">
        <v>20</v>
      </c>
      <c r="F27" s="10">
        <f t="shared" si="4"/>
        <v>0</v>
      </c>
      <c r="G27" s="305">
        <v>0</v>
      </c>
      <c r="H27" s="10">
        <f t="shared" si="5"/>
        <v>0</v>
      </c>
    </row>
    <row r="28" spans="1:8">
      <c r="A28" s="475"/>
      <c r="B28" s="289" t="s">
        <v>501</v>
      </c>
      <c r="C28" s="304">
        <v>0</v>
      </c>
      <c r="D28" s="10">
        <f t="shared" si="6"/>
        <v>0</v>
      </c>
      <c r="E28" s="290"/>
      <c r="F28" s="10">
        <f t="shared" si="4"/>
        <v>0</v>
      </c>
      <c r="G28" s="305">
        <v>0</v>
      </c>
      <c r="H28" s="10">
        <f t="shared" si="5"/>
        <v>0</v>
      </c>
    </row>
    <row r="29" spans="1:8">
      <c r="A29" s="475"/>
      <c r="B29" s="289"/>
      <c r="C29" s="304">
        <v>0</v>
      </c>
      <c r="D29" s="10">
        <f t="shared" si="6"/>
        <v>0</v>
      </c>
      <c r="E29" s="290"/>
      <c r="F29" s="10">
        <f t="shared" si="4"/>
        <v>0</v>
      </c>
      <c r="G29" s="305">
        <v>0</v>
      </c>
      <c r="H29" s="10">
        <f t="shared" si="5"/>
        <v>0</v>
      </c>
    </row>
    <row r="30" spans="1:8">
      <c r="A30" s="475"/>
      <c r="B30" s="289"/>
      <c r="C30" s="304">
        <v>0</v>
      </c>
      <c r="D30" s="10">
        <f t="shared" si="6"/>
        <v>0</v>
      </c>
      <c r="E30" s="290"/>
      <c r="F30" s="10">
        <f t="shared" si="4"/>
        <v>0</v>
      </c>
      <c r="G30" s="305">
        <v>0</v>
      </c>
      <c r="H30" s="10">
        <f t="shared" si="5"/>
        <v>0</v>
      </c>
    </row>
    <row r="31" spans="1:8">
      <c r="A31" s="476"/>
      <c r="B31" s="289"/>
      <c r="C31" s="304">
        <v>0</v>
      </c>
      <c r="D31" s="10">
        <f t="shared" si="6"/>
        <v>0</v>
      </c>
      <c r="E31" s="290"/>
      <c r="F31" s="10">
        <f t="shared" si="4"/>
        <v>0</v>
      </c>
      <c r="G31" s="305">
        <v>0</v>
      </c>
      <c r="H31" s="10">
        <f t="shared" si="5"/>
        <v>0</v>
      </c>
    </row>
    <row r="32" spans="1:8">
      <c r="A32" s="335" t="s">
        <v>516</v>
      </c>
      <c r="B32" s="329"/>
      <c r="C32" s="289">
        <f>B9*B32</f>
        <v>0</v>
      </c>
      <c r="D32" s="10"/>
      <c r="E32" s="290"/>
      <c r="F32" s="10"/>
      <c r="G32" s="305"/>
      <c r="H32" s="10"/>
    </row>
    <row r="33" spans="1:8">
      <c r="A33" s="332" t="s">
        <v>473</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90" t="s">
        <v>517</v>
      </c>
      <c r="B37" s="289" t="s">
        <v>503</v>
      </c>
      <c r="C37" s="304">
        <v>0</v>
      </c>
      <c r="D37" s="10">
        <f t="shared" si="3"/>
        <v>0</v>
      </c>
      <c r="E37" s="290">
        <v>6</v>
      </c>
      <c r="F37" s="10">
        <f t="shared" si="4"/>
        <v>0</v>
      </c>
      <c r="G37" s="305">
        <v>0.05</v>
      </c>
      <c r="H37" s="10">
        <f t="shared" si="5"/>
        <v>0</v>
      </c>
    </row>
    <row r="38" spans="1:8">
      <c r="A38" s="490"/>
      <c r="B38" s="289" t="s">
        <v>504</v>
      </c>
      <c r="C38" s="304">
        <v>0</v>
      </c>
      <c r="D38" s="10">
        <f t="shared" si="3"/>
        <v>0</v>
      </c>
      <c r="E38" s="290"/>
      <c r="F38" s="10">
        <f t="shared" si="4"/>
        <v>0</v>
      </c>
      <c r="G38" s="305">
        <v>0</v>
      </c>
      <c r="H38" s="10">
        <f t="shared" si="5"/>
        <v>0</v>
      </c>
    </row>
    <row r="39" spans="1:8">
      <c r="A39" s="490"/>
      <c r="B39" s="289" t="s">
        <v>505</v>
      </c>
      <c r="C39" s="304">
        <v>0</v>
      </c>
      <c r="D39" s="10">
        <f t="shared" si="3"/>
        <v>0</v>
      </c>
      <c r="E39" s="290"/>
      <c r="F39" s="10">
        <f t="shared" si="4"/>
        <v>0</v>
      </c>
      <c r="G39" s="305">
        <v>0</v>
      </c>
      <c r="H39" s="10">
        <f t="shared" si="5"/>
        <v>0</v>
      </c>
    </row>
    <row r="40" spans="1:8">
      <c r="A40" s="490"/>
      <c r="B40" s="289" t="s">
        <v>506</v>
      </c>
      <c r="C40" s="304">
        <v>0</v>
      </c>
      <c r="D40" s="10">
        <f t="shared" si="3"/>
        <v>0</v>
      </c>
      <c r="E40" s="290"/>
      <c r="F40" s="10">
        <f t="shared" si="4"/>
        <v>0</v>
      </c>
      <c r="G40" s="305">
        <v>0</v>
      </c>
      <c r="H40" s="10">
        <f t="shared" si="5"/>
        <v>0</v>
      </c>
    </row>
    <row r="41" spans="1:8">
      <c r="A41" s="473" t="s">
        <v>415</v>
      </c>
      <c r="B41" s="473"/>
      <c r="C41" s="473"/>
      <c r="D41" s="473"/>
      <c r="E41" s="473"/>
      <c r="F41" s="473"/>
      <c r="G41" s="473"/>
      <c r="H41" s="473"/>
    </row>
    <row r="43" spans="1:8" ht="18.75">
      <c r="A43" s="477" t="s">
        <v>594</v>
      </c>
      <c r="B43" s="478"/>
      <c r="C43" s="478"/>
      <c r="D43" s="478"/>
      <c r="E43" s="478"/>
      <c r="F43" s="478"/>
      <c r="G43" s="478"/>
      <c r="H43" s="479"/>
    </row>
    <row r="44" spans="1:8">
      <c r="A44" s="480"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81"/>
      <c r="B45" s="311" t="s">
        <v>2</v>
      </c>
      <c r="C45" s="311" t="s">
        <v>3</v>
      </c>
      <c r="D45" s="311" t="s">
        <v>4</v>
      </c>
      <c r="E45" s="311" t="s">
        <v>5</v>
      </c>
      <c r="F45" s="311" t="s">
        <v>6</v>
      </c>
      <c r="G45" s="311" t="s">
        <v>171</v>
      </c>
      <c r="H45" s="311"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82" t="s">
        <v>595</v>
      </c>
      <c r="B71" s="483"/>
      <c r="C71" s="483"/>
      <c r="D71" s="483"/>
      <c r="E71" s="483"/>
      <c r="F71" s="483"/>
      <c r="G71" s="483"/>
      <c r="H71" s="484"/>
    </row>
    <row r="72" spans="1:8">
      <c r="A72" s="485" t="s">
        <v>0</v>
      </c>
      <c r="B72" s="321">
        <v>0.05</v>
      </c>
      <c r="C72" s="321">
        <f>B72+0.05</f>
        <v>0.1</v>
      </c>
      <c r="D72" s="321">
        <f t="shared" ref="D72:G72" si="26">C72+0.05</f>
        <v>0.15000000000000002</v>
      </c>
      <c r="E72" s="321">
        <f t="shared" si="26"/>
        <v>0.2</v>
      </c>
      <c r="F72" s="321">
        <f t="shared" si="26"/>
        <v>0.25</v>
      </c>
      <c r="G72" s="321">
        <f t="shared" si="26"/>
        <v>0.3</v>
      </c>
      <c r="H72" s="321">
        <f>G72+0.05</f>
        <v>0.35</v>
      </c>
    </row>
    <row r="73" spans="1:8">
      <c r="A73" s="486"/>
      <c r="B73" s="311" t="s">
        <v>2</v>
      </c>
      <c r="C73" s="311" t="s">
        <v>3</v>
      </c>
      <c r="D73" s="311" t="s">
        <v>4</v>
      </c>
      <c r="E73" s="311" t="s">
        <v>5</v>
      </c>
      <c r="F73" s="311" t="s">
        <v>6</v>
      </c>
      <c r="G73" s="311" t="s">
        <v>171</v>
      </c>
      <c r="H73" s="311"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9"/>
    </row>
    <row r="99" spans="1:9" ht="18.75">
      <c r="A99" s="482" t="s">
        <v>596</v>
      </c>
      <c r="B99" s="483"/>
      <c r="C99" s="483"/>
      <c r="D99" s="483"/>
      <c r="E99" s="483"/>
      <c r="F99" s="483"/>
      <c r="G99" s="483"/>
      <c r="H99" s="484"/>
    </row>
    <row r="100" spans="1:9">
      <c r="A100" s="471"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72"/>
      <c r="B101" s="311" t="s">
        <v>2</v>
      </c>
      <c r="C101" s="311" t="s">
        <v>3</v>
      </c>
      <c r="D101" s="311" t="s">
        <v>4</v>
      </c>
      <c r="E101" s="311" t="s">
        <v>5</v>
      </c>
      <c r="F101" s="311" t="s">
        <v>6</v>
      </c>
      <c r="G101" s="311" t="s">
        <v>171</v>
      </c>
      <c r="H101" s="311" t="s">
        <v>170</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0">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6"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Custard Apple</v>
      </c>
      <c r="B124" s="10">
        <f t="shared" si="52"/>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Guava</v>
      </c>
      <c r="B125" s="10">
        <f t="shared" si="52"/>
        <v>0</v>
      </c>
      <c r="C125" s="308">
        <f t="shared" si="51"/>
        <v>0</v>
      </c>
      <c r="D125" s="308">
        <f t="shared" si="51"/>
        <v>0</v>
      </c>
      <c r="E125" s="308">
        <f t="shared" si="51"/>
        <v>0</v>
      </c>
      <c r="F125" s="308">
        <f t="shared" si="51"/>
        <v>0</v>
      </c>
      <c r="G125" s="308">
        <f t="shared" si="51"/>
        <v>0</v>
      </c>
      <c r="H125" s="308">
        <f t="shared" si="51"/>
        <v>0</v>
      </c>
    </row>
    <row r="126" spans="1:9">
      <c r="A126" s="10" t="str">
        <f t="shared" si="46"/>
        <v>Citrus</v>
      </c>
      <c r="B126" s="10">
        <f t="shared" si="52"/>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559</v>
      </c>
      <c r="C129" s="318"/>
      <c r="D129" s="318"/>
      <c r="E129" s="318"/>
      <c r="F129" s="318"/>
      <c r="G129" s="318"/>
      <c r="H129" s="318"/>
      <c r="I129" s="318"/>
    </row>
    <row r="130" spans="1:9">
      <c r="A130">
        <v>1</v>
      </c>
      <c r="B130" t="s">
        <v>560</v>
      </c>
    </row>
    <row r="131" spans="1:9">
      <c r="A131">
        <v>2</v>
      </c>
      <c r="B131" t="s">
        <v>561</v>
      </c>
    </row>
    <row r="132" spans="1:9">
      <c r="A132">
        <v>3</v>
      </c>
      <c r="B132" t="s">
        <v>562</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288" zoomScale="80" zoomScaleSheetLayoutView="80" workbookViewId="0">
      <selection activeCell="A23" sqref="A23"/>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21" t="s">
        <v>597</v>
      </c>
      <c r="B2" s="421"/>
      <c r="C2" s="421"/>
      <c r="D2" s="421"/>
      <c r="E2" s="421"/>
      <c r="F2" s="421"/>
      <c r="G2" s="421"/>
      <c r="H2" s="421"/>
    </row>
    <row r="3" spans="1:8" ht="18.75">
      <c r="A3" s="421" t="s">
        <v>598</v>
      </c>
      <c r="B3" s="421"/>
      <c r="C3" s="421"/>
      <c r="D3" s="421"/>
      <c r="E3" s="421"/>
      <c r="F3" s="421"/>
      <c r="G3" s="421"/>
      <c r="H3" s="421"/>
    </row>
    <row r="4" spans="1:8">
      <c r="B4" s="94"/>
      <c r="C4" s="94"/>
      <c r="D4" s="94"/>
      <c r="E4" s="94"/>
      <c r="F4" s="422" t="s">
        <v>485</v>
      </c>
      <c r="G4" s="422"/>
      <c r="H4" s="422"/>
    </row>
    <row r="5" spans="1:8">
      <c r="A5" s="94" t="s">
        <v>163</v>
      </c>
      <c r="B5" s="250">
        <v>18</v>
      </c>
      <c r="C5" s="94" t="s">
        <v>461</v>
      </c>
      <c r="D5" s="94"/>
      <c r="E5" s="94"/>
      <c r="F5" s="293" t="s">
        <v>486</v>
      </c>
      <c r="G5" s="293" t="s">
        <v>487</v>
      </c>
      <c r="H5" s="94"/>
    </row>
    <row r="6" spans="1:8">
      <c r="A6" s="94" t="s">
        <v>164</v>
      </c>
      <c r="B6" s="283">
        <v>8</v>
      </c>
      <c r="C6" s="94"/>
      <c r="D6" s="94"/>
      <c r="E6" s="94"/>
      <c r="F6" s="10" t="s">
        <v>483</v>
      </c>
      <c r="G6" s="326">
        <v>0.03</v>
      </c>
      <c r="H6" s="94"/>
    </row>
    <row r="7" spans="1:8">
      <c r="A7" s="94"/>
      <c r="B7" s="94"/>
      <c r="C7" s="94"/>
      <c r="D7" s="94"/>
      <c r="E7" s="94"/>
      <c r="F7" s="10" t="s">
        <v>484</v>
      </c>
      <c r="G7" s="326">
        <v>0</v>
      </c>
      <c r="H7" s="94"/>
    </row>
    <row r="8" spans="1:8">
      <c r="A8" s="94" t="s">
        <v>532</v>
      </c>
      <c r="B8" s="94">
        <v>300</v>
      </c>
      <c r="C8" s="94"/>
      <c r="D8" s="94"/>
      <c r="E8" s="94"/>
      <c r="F8" s="10"/>
      <c r="G8" s="326"/>
      <c r="H8" s="94"/>
    </row>
    <row r="9" spans="1:8">
      <c r="A9" s="148" t="s">
        <v>0</v>
      </c>
      <c r="B9" s="120" t="s">
        <v>2</v>
      </c>
      <c r="C9" s="120" t="s">
        <v>3</v>
      </c>
      <c r="D9" s="120" t="s">
        <v>4</v>
      </c>
      <c r="E9" s="120" t="s">
        <v>5</v>
      </c>
      <c r="F9" s="120" t="s">
        <v>6</v>
      </c>
      <c r="G9" s="120" t="s">
        <v>171</v>
      </c>
      <c r="H9" s="120" t="s">
        <v>170</v>
      </c>
    </row>
    <row r="10" spans="1:8">
      <c r="A10" s="95" t="s">
        <v>460</v>
      </c>
      <c r="B10" s="302">
        <f>B33/($B$5*$B$6)</f>
        <v>51.907812500000006</v>
      </c>
      <c r="C10" s="302">
        <f t="shared" ref="C10:H10" si="0">C33/($B$5*$B$6)</f>
        <v>57.098593749999999</v>
      </c>
      <c r="D10" s="302">
        <f t="shared" si="0"/>
        <v>62.289375000000014</v>
      </c>
      <c r="E10" s="302">
        <f t="shared" si="0"/>
        <v>67.480156250000007</v>
      </c>
      <c r="F10" s="302">
        <f t="shared" si="0"/>
        <v>72.670937500000008</v>
      </c>
      <c r="G10" s="302">
        <f t="shared" si="0"/>
        <v>77.861718750000009</v>
      </c>
      <c r="H10" s="302">
        <f t="shared" si="0"/>
        <v>83.052500000000023</v>
      </c>
    </row>
    <row r="11" spans="1:8">
      <c r="A11" s="201" t="str">
        <f>'10.Grain Production details'!A42</f>
        <v>Soybean</v>
      </c>
      <c r="B11" s="201">
        <f>'10.Grain Production details'!B42</f>
        <v>1822.5</v>
      </c>
      <c r="C11" s="201">
        <f>'10.Grain Production details'!C42</f>
        <v>2004.7500000000002</v>
      </c>
      <c r="D11" s="201">
        <f>'10.Grain Production details'!D42</f>
        <v>2187.0000000000005</v>
      </c>
      <c r="E11" s="201">
        <f>'10.Grain Production details'!E42</f>
        <v>2369.2500000000005</v>
      </c>
      <c r="F11" s="201">
        <f>'10.Grain Production details'!F42</f>
        <v>2551.5000000000005</v>
      </c>
      <c r="G11" s="201">
        <f>'10.Grain Production details'!G42</f>
        <v>2733.7500000000005</v>
      </c>
      <c r="H11" s="201">
        <f>'10.Grain Production details'!H42</f>
        <v>2916.0000000000005</v>
      </c>
    </row>
    <row r="12" spans="1:8">
      <c r="A12" s="201" t="str">
        <f>'10.Grain Production details'!A43</f>
        <v>Red Gram/Tur</v>
      </c>
      <c r="B12" s="201">
        <f>'10.Grain Production details'!B43</f>
        <v>299.25</v>
      </c>
      <c r="C12" s="201">
        <f>'10.Grain Production details'!C43</f>
        <v>329.17500000000001</v>
      </c>
      <c r="D12" s="201">
        <f>'10.Grain Production details'!D43</f>
        <v>359.10000000000008</v>
      </c>
      <c r="E12" s="201">
        <f>'10.Grain Production details'!E43</f>
        <v>389.02500000000009</v>
      </c>
      <c r="F12" s="201">
        <f>'10.Grain Production details'!F43</f>
        <v>418.9500000000001</v>
      </c>
      <c r="G12" s="201">
        <f>'10.Grain Production details'!G43</f>
        <v>448.87500000000011</v>
      </c>
      <c r="H12" s="201">
        <f>'10.Grain Production details'!H43</f>
        <v>478.80000000000018</v>
      </c>
    </row>
    <row r="13" spans="1:8">
      <c r="A13" s="201" t="str">
        <f>'10.Grain Production details'!A44</f>
        <v>Paddy/Rice</v>
      </c>
      <c r="B13" s="201">
        <f>'10.Grain Production details'!B44</f>
        <v>0</v>
      </c>
      <c r="C13" s="201">
        <f>'10.Grain Production details'!C44</f>
        <v>0</v>
      </c>
      <c r="D13" s="201">
        <f>'10.Grain Production details'!D44</f>
        <v>0</v>
      </c>
      <c r="E13" s="201">
        <f>'10.Grain Production details'!E44</f>
        <v>0</v>
      </c>
      <c r="F13" s="201">
        <f>'10.Grain Production details'!F44</f>
        <v>0</v>
      </c>
      <c r="G13" s="201">
        <f>'10.Grain Production details'!G44</f>
        <v>0</v>
      </c>
      <c r="H13" s="201">
        <f>'10.Grain Production details'!H44</f>
        <v>0</v>
      </c>
    </row>
    <row r="14" spans="1:8">
      <c r="A14" s="201" t="str">
        <f>'10.Grain Production details'!A45</f>
        <v>Green Gram/ Moong</v>
      </c>
      <c r="B14" s="201">
        <f>'10.Grain Production details'!B45</f>
        <v>540.22500000000002</v>
      </c>
      <c r="C14" s="201">
        <f>'10.Grain Production details'!C45</f>
        <v>594.24750000000006</v>
      </c>
      <c r="D14" s="201">
        <f>'10.Grain Production details'!D45</f>
        <v>648.2700000000001</v>
      </c>
      <c r="E14" s="201">
        <f>'10.Grain Production details'!E45</f>
        <v>702.29250000000013</v>
      </c>
      <c r="F14" s="201">
        <f>'10.Grain Production details'!F45</f>
        <v>756.31500000000017</v>
      </c>
      <c r="G14" s="201">
        <f>'10.Grain Production details'!G45</f>
        <v>810.33750000000032</v>
      </c>
      <c r="H14" s="201">
        <f>'10.Grain Production details'!H45</f>
        <v>864.36000000000035</v>
      </c>
    </row>
    <row r="15" spans="1:8">
      <c r="A15" s="201" t="str">
        <f>'10.Grain Production details'!A46</f>
        <v>Maize</v>
      </c>
      <c r="B15" s="201">
        <f>'10.Grain Production details'!B46</f>
        <v>3375</v>
      </c>
      <c r="C15" s="201">
        <f>'10.Grain Production details'!C46</f>
        <v>3712.5000000000005</v>
      </c>
      <c r="D15" s="201">
        <f>'10.Grain Production details'!D46</f>
        <v>4050.0000000000005</v>
      </c>
      <c r="E15" s="201">
        <f>'10.Grain Production details'!E46</f>
        <v>4387.5000000000009</v>
      </c>
      <c r="F15" s="201">
        <f>'10.Grain Production details'!F46</f>
        <v>4725.0000000000009</v>
      </c>
      <c r="G15" s="201">
        <f>'10.Grain Production details'!G46</f>
        <v>5062.5000000000018</v>
      </c>
      <c r="H15" s="201">
        <f>'10.Grain Production details'!H46</f>
        <v>5400.0000000000018</v>
      </c>
    </row>
    <row r="16" spans="1:8">
      <c r="A16" s="201" t="str">
        <f>'10.Grain Production details'!A47</f>
        <v>Black Gram/Udid</v>
      </c>
      <c r="B16" s="201">
        <f>'10.Grain Production details'!B47</f>
        <v>425.25</v>
      </c>
      <c r="C16" s="201">
        <f>'10.Grain Production details'!C47</f>
        <v>467.77500000000003</v>
      </c>
      <c r="D16" s="201">
        <f>'10.Grain Production details'!D47</f>
        <v>510.30000000000007</v>
      </c>
      <c r="E16" s="201">
        <f>'10.Grain Production details'!E47</f>
        <v>552.82500000000016</v>
      </c>
      <c r="F16" s="201">
        <f>'10.Grain Production details'!F47</f>
        <v>595.35000000000025</v>
      </c>
      <c r="G16" s="201">
        <f>'10.Grain Production details'!G47</f>
        <v>637.87500000000023</v>
      </c>
      <c r="H16" s="201">
        <f>'10.Grain Production details'!H47</f>
        <v>680.4000000000002</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0</v>
      </c>
      <c r="C20" s="201">
        <f>'10.Grain Production details'!C51</f>
        <v>0</v>
      </c>
      <c r="D20" s="201">
        <f>'10.Grain Production details'!D51</f>
        <v>0</v>
      </c>
      <c r="E20" s="201">
        <f>'10.Grain Production details'!E51</f>
        <v>0</v>
      </c>
      <c r="F20" s="201">
        <f>'10.Grain Production details'!F51</f>
        <v>0</v>
      </c>
      <c r="G20" s="201">
        <f>'10.Grain Production details'!G51</f>
        <v>0</v>
      </c>
      <c r="H20" s="201">
        <f>'10.Grain Production details'!H51</f>
        <v>0</v>
      </c>
    </row>
    <row r="21" spans="1:8">
      <c r="A21" s="201" t="str">
        <f>'10.Grain Production details'!A52</f>
        <v>Bengal Gram/Channa</v>
      </c>
      <c r="B21" s="201">
        <f>'10.Grain Production details'!B52</f>
        <v>151.875</v>
      </c>
      <c r="C21" s="201">
        <f>'10.Grain Production details'!C52</f>
        <v>167.0625</v>
      </c>
      <c r="D21" s="201">
        <f>'10.Grain Production details'!D52</f>
        <v>182.25000000000003</v>
      </c>
      <c r="E21" s="201">
        <f>'10.Grain Production details'!E52</f>
        <v>197.43750000000003</v>
      </c>
      <c r="F21" s="201">
        <f>'10.Grain Production details'!F52</f>
        <v>212.62500000000006</v>
      </c>
      <c r="G21" s="201">
        <f>'10.Grain Production details'!G52</f>
        <v>227.81250000000006</v>
      </c>
      <c r="H21" s="201">
        <f>'10.Grain Production details'!H52</f>
        <v>243.00000000000009</v>
      </c>
    </row>
    <row r="22" spans="1:8">
      <c r="A22" s="201" t="str">
        <f>'10.Grain Production details'!A53</f>
        <v>Jawar</v>
      </c>
      <c r="B22" s="201">
        <f>'10.Grain Production details'!B53</f>
        <v>320.625</v>
      </c>
      <c r="C22" s="201">
        <f>'10.Grain Production details'!C53</f>
        <v>352.68750000000006</v>
      </c>
      <c r="D22" s="201">
        <f>'10.Grain Production details'!D53</f>
        <v>384.75000000000006</v>
      </c>
      <c r="E22" s="201">
        <f>'10.Grain Production details'!E53</f>
        <v>416.81250000000011</v>
      </c>
      <c r="F22" s="201">
        <f>'10.Grain Production details'!F53</f>
        <v>448.87500000000011</v>
      </c>
      <c r="G22" s="201">
        <f>'10.Grain Production details'!G53</f>
        <v>480.93750000000017</v>
      </c>
      <c r="H22" s="201">
        <f>'10.Grain Production details'!H53</f>
        <v>513.00000000000023</v>
      </c>
    </row>
    <row r="23" spans="1:8">
      <c r="A23" s="201" t="str">
        <f>'10.Grain Production details'!A54</f>
        <v>Maize</v>
      </c>
      <c r="B23" s="201">
        <f>'10.Grain Production details'!B54</f>
        <v>540</v>
      </c>
      <c r="C23" s="201">
        <f>'10.Grain Production details'!C54</f>
        <v>594</v>
      </c>
      <c r="D23" s="201">
        <f>'10.Grain Production details'!D54</f>
        <v>648.00000000000011</v>
      </c>
      <c r="E23" s="201">
        <f>'10.Grain Production details'!E54</f>
        <v>702.00000000000011</v>
      </c>
      <c r="F23" s="201">
        <f>'10.Grain Production details'!F54</f>
        <v>756.00000000000023</v>
      </c>
      <c r="G23" s="201">
        <f>'10.Grain Production details'!G54</f>
        <v>810.00000000000023</v>
      </c>
      <c r="H23" s="201">
        <f>'10.Grain Production details'!H54</f>
        <v>864.00000000000034</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529</v>
      </c>
      <c r="B33" s="201">
        <f t="shared" ref="B33:H33" si="1">SUM(B11:B32)</f>
        <v>7474.7250000000004</v>
      </c>
      <c r="C33" s="201">
        <f t="shared" si="1"/>
        <v>8222.1975000000002</v>
      </c>
      <c r="D33" s="201">
        <f t="shared" si="1"/>
        <v>8969.6700000000019</v>
      </c>
      <c r="E33" s="201">
        <f t="shared" si="1"/>
        <v>9717.1425000000017</v>
      </c>
      <c r="F33" s="201">
        <f t="shared" si="1"/>
        <v>10464.615000000002</v>
      </c>
      <c r="G33" s="201">
        <f t="shared" si="1"/>
        <v>11212.087500000001</v>
      </c>
      <c r="H33" s="201">
        <f t="shared" si="1"/>
        <v>11959.560000000003</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528</v>
      </c>
      <c r="B61" s="201">
        <f t="shared" ref="B61:H61" si="2">SUM(B35:B59)</f>
        <v>0</v>
      </c>
      <c r="C61" s="201">
        <f t="shared" si="2"/>
        <v>0</v>
      </c>
      <c r="D61" s="201">
        <f t="shared" si="2"/>
        <v>0</v>
      </c>
      <c r="E61" s="201">
        <f t="shared" si="2"/>
        <v>0</v>
      </c>
      <c r="F61" s="201">
        <f t="shared" si="2"/>
        <v>0</v>
      </c>
      <c r="G61" s="201">
        <f t="shared" si="2"/>
        <v>0</v>
      </c>
      <c r="H61" s="201">
        <f t="shared" si="2"/>
        <v>0</v>
      </c>
    </row>
    <row r="62" spans="1:8">
      <c r="A62" s="284" t="s">
        <v>530</v>
      </c>
      <c r="B62" s="303">
        <v>0.2</v>
      </c>
      <c r="C62" s="303">
        <v>0.2</v>
      </c>
      <c r="D62" s="303">
        <v>0.2</v>
      </c>
      <c r="E62" s="303">
        <v>0.2</v>
      </c>
      <c r="F62" s="303">
        <v>0.2</v>
      </c>
      <c r="G62" s="303">
        <v>0.2</v>
      </c>
      <c r="H62" s="303">
        <v>0.2</v>
      </c>
    </row>
    <row r="63" spans="1:8">
      <c r="A63" s="284" t="s">
        <v>531</v>
      </c>
      <c r="B63" s="303">
        <f t="shared" ref="B63:H63" si="3">1-B62</f>
        <v>0.8</v>
      </c>
      <c r="C63" s="303">
        <f t="shared" si="3"/>
        <v>0.8</v>
      </c>
      <c r="D63" s="303">
        <f t="shared" si="3"/>
        <v>0.8</v>
      </c>
      <c r="E63" s="303">
        <f t="shared" si="3"/>
        <v>0.8</v>
      </c>
      <c r="F63" s="303">
        <f t="shared" si="3"/>
        <v>0.8</v>
      </c>
      <c r="G63" s="303">
        <f t="shared" si="3"/>
        <v>0.8</v>
      </c>
      <c r="H63" s="303">
        <f t="shared" si="3"/>
        <v>0.8</v>
      </c>
    </row>
    <row r="64" spans="1:8">
      <c r="A64" s="284"/>
      <c r="B64" s="303"/>
      <c r="C64" s="303"/>
      <c r="D64" s="303"/>
      <c r="E64" s="303"/>
      <c r="F64" s="303"/>
      <c r="G64" s="303"/>
      <c r="H64" s="303"/>
    </row>
    <row r="65" spans="1:8">
      <c r="A65" s="284" t="s">
        <v>167</v>
      </c>
      <c r="B65" s="285">
        <f t="shared" ref="B65:H65" si="4">B33*B62</f>
        <v>1494.9450000000002</v>
      </c>
      <c r="C65" s="285">
        <f t="shared" si="4"/>
        <v>1644.4395000000002</v>
      </c>
      <c r="D65" s="285">
        <f t="shared" si="4"/>
        <v>1793.9340000000004</v>
      </c>
      <c r="E65" s="285">
        <f t="shared" si="4"/>
        <v>1943.4285000000004</v>
      </c>
      <c r="F65" s="285">
        <f t="shared" si="4"/>
        <v>2092.9230000000002</v>
      </c>
      <c r="G65" s="285">
        <f t="shared" si="4"/>
        <v>2242.4175000000005</v>
      </c>
      <c r="H65" s="285">
        <f t="shared" si="4"/>
        <v>2391.9120000000007</v>
      </c>
    </row>
    <row r="66" spans="1:8">
      <c r="A66" s="97"/>
      <c r="B66" s="201"/>
      <c r="C66" s="201"/>
      <c r="D66" s="201"/>
      <c r="E66" s="201"/>
      <c r="F66" s="201"/>
      <c r="G66" s="201"/>
      <c r="H66" s="201"/>
    </row>
    <row r="67" spans="1:8">
      <c r="A67" s="97" t="s">
        <v>168</v>
      </c>
      <c r="B67" s="201"/>
      <c r="C67" s="201"/>
      <c r="D67" s="201"/>
      <c r="E67" s="201"/>
      <c r="F67" s="201"/>
      <c r="G67" s="201"/>
      <c r="H67" s="201"/>
    </row>
    <row r="68" spans="1:8">
      <c r="A68" s="95" t="str">
        <f t="shared" ref="A68:A89" si="5">A11</f>
        <v>Soybean</v>
      </c>
      <c r="B68" s="301">
        <f t="shared" ref="B68:B89" si="6">B11*$B$63</f>
        <v>1458</v>
      </c>
      <c r="C68" s="301">
        <f t="shared" ref="C68:C83" si="7">C11*$C$63</f>
        <v>1603.8000000000002</v>
      </c>
      <c r="D68" s="301">
        <f t="shared" ref="D68:D83" si="8">D11*$D$63</f>
        <v>1749.6000000000004</v>
      </c>
      <c r="E68" s="301">
        <f t="shared" ref="E68:E83" si="9">E11*$E$63</f>
        <v>1895.4000000000005</v>
      </c>
      <c r="F68" s="301">
        <f t="shared" ref="F68:F83" si="10">F11*$F$63</f>
        <v>2041.2000000000005</v>
      </c>
      <c r="G68" s="301">
        <f t="shared" ref="G68:G83" si="11">G11*$G$63</f>
        <v>2187.0000000000005</v>
      </c>
      <c r="H68" s="301">
        <f t="shared" ref="H68:H83" si="12">H11*$H$63</f>
        <v>2332.8000000000006</v>
      </c>
    </row>
    <row r="69" spans="1:8">
      <c r="A69" s="95" t="str">
        <f t="shared" si="5"/>
        <v>Red Gram/Tur</v>
      </c>
      <c r="B69" s="301">
        <f t="shared" si="6"/>
        <v>239.4</v>
      </c>
      <c r="C69" s="301">
        <f t="shared" si="7"/>
        <v>263.34000000000003</v>
      </c>
      <c r="D69" s="301">
        <f t="shared" si="8"/>
        <v>287.28000000000009</v>
      </c>
      <c r="E69" s="301">
        <f t="shared" si="9"/>
        <v>311.22000000000008</v>
      </c>
      <c r="F69" s="301">
        <f t="shared" si="10"/>
        <v>335.16000000000008</v>
      </c>
      <c r="G69" s="301">
        <f t="shared" si="11"/>
        <v>359.10000000000014</v>
      </c>
      <c r="H69" s="301">
        <f t="shared" si="12"/>
        <v>383.04000000000019</v>
      </c>
    </row>
    <row r="70" spans="1:8">
      <c r="A70" s="95" t="str">
        <f t="shared" si="5"/>
        <v>Paddy/Rice</v>
      </c>
      <c r="B70" s="301">
        <f t="shared" si="6"/>
        <v>0</v>
      </c>
      <c r="C70" s="301">
        <f t="shared" si="7"/>
        <v>0</v>
      </c>
      <c r="D70" s="301">
        <f t="shared" si="8"/>
        <v>0</v>
      </c>
      <c r="E70" s="301">
        <f t="shared" si="9"/>
        <v>0</v>
      </c>
      <c r="F70" s="301">
        <f t="shared" si="10"/>
        <v>0</v>
      </c>
      <c r="G70" s="301">
        <f t="shared" si="11"/>
        <v>0</v>
      </c>
      <c r="H70" s="301">
        <f t="shared" si="12"/>
        <v>0</v>
      </c>
    </row>
    <row r="71" spans="1:8">
      <c r="A71" s="95" t="str">
        <f t="shared" si="5"/>
        <v>Green Gram/ Moong</v>
      </c>
      <c r="B71" s="301">
        <f t="shared" si="6"/>
        <v>432.18000000000006</v>
      </c>
      <c r="C71" s="301">
        <f t="shared" si="7"/>
        <v>475.39800000000008</v>
      </c>
      <c r="D71" s="301">
        <f t="shared" si="8"/>
        <v>518.6160000000001</v>
      </c>
      <c r="E71" s="301">
        <f t="shared" si="9"/>
        <v>561.83400000000017</v>
      </c>
      <c r="F71" s="301">
        <f t="shared" si="10"/>
        <v>605.05200000000013</v>
      </c>
      <c r="G71" s="301">
        <f t="shared" si="11"/>
        <v>648.27000000000032</v>
      </c>
      <c r="H71" s="301">
        <f t="shared" si="12"/>
        <v>691.48800000000028</v>
      </c>
    </row>
    <row r="72" spans="1:8">
      <c r="A72" s="95" t="str">
        <f t="shared" si="5"/>
        <v>Maize</v>
      </c>
      <c r="B72" s="301">
        <f t="shared" si="6"/>
        <v>2700</v>
      </c>
      <c r="C72" s="301">
        <f t="shared" si="7"/>
        <v>2970.0000000000005</v>
      </c>
      <c r="D72" s="301">
        <f t="shared" si="8"/>
        <v>3240.0000000000005</v>
      </c>
      <c r="E72" s="301">
        <f t="shared" si="9"/>
        <v>3510.0000000000009</v>
      </c>
      <c r="F72" s="301">
        <f t="shared" si="10"/>
        <v>3780.0000000000009</v>
      </c>
      <c r="G72" s="301">
        <f t="shared" si="11"/>
        <v>4050.0000000000018</v>
      </c>
      <c r="H72" s="301">
        <f t="shared" si="12"/>
        <v>4320.0000000000018</v>
      </c>
    </row>
    <row r="73" spans="1:8">
      <c r="A73" s="95" t="str">
        <f t="shared" si="5"/>
        <v>Black Gram/Udid</v>
      </c>
      <c r="B73" s="301">
        <f t="shared" si="6"/>
        <v>340.20000000000005</v>
      </c>
      <c r="C73" s="301">
        <f t="shared" si="7"/>
        <v>374.22</v>
      </c>
      <c r="D73" s="301">
        <f t="shared" si="8"/>
        <v>408.24000000000007</v>
      </c>
      <c r="E73" s="301">
        <f t="shared" si="9"/>
        <v>442.26000000000016</v>
      </c>
      <c r="F73" s="301">
        <f t="shared" si="10"/>
        <v>476.2800000000002</v>
      </c>
      <c r="G73" s="301">
        <f t="shared" si="11"/>
        <v>510.30000000000018</v>
      </c>
      <c r="H73" s="301">
        <f t="shared" si="12"/>
        <v>544.32000000000016</v>
      </c>
    </row>
    <row r="74" spans="1:8">
      <c r="A74" s="95" t="str">
        <f t="shared" si="5"/>
        <v>Bajra</v>
      </c>
      <c r="B74" s="301">
        <f t="shared" si="6"/>
        <v>0</v>
      </c>
      <c r="C74" s="301">
        <f t="shared" si="7"/>
        <v>0</v>
      </c>
      <c r="D74" s="301">
        <f t="shared" si="8"/>
        <v>0</v>
      </c>
      <c r="E74" s="301">
        <f t="shared" si="9"/>
        <v>0</v>
      </c>
      <c r="F74" s="301">
        <f t="shared" si="10"/>
        <v>0</v>
      </c>
      <c r="G74" s="301">
        <f t="shared" si="11"/>
        <v>0</v>
      </c>
      <c r="H74" s="301">
        <f t="shared" si="12"/>
        <v>0</v>
      </c>
    </row>
    <row r="75" spans="1:8">
      <c r="A75" s="95" t="str">
        <f t="shared" si="5"/>
        <v>Jawar</v>
      </c>
      <c r="B75" s="301">
        <f t="shared" si="6"/>
        <v>0</v>
      </c>
      <c r="C75" s="301">
        <f t="shared" si="7"/>
        <v>0</v>
      </c>
      <c r="D75" s="301">
        <f t="shared" si="8"/>
        <v>0</v>
      </c>
      <c r="E75" s="301">
        <f t="shared" si="9"/>
        <v>0</v>
      </c>
      <c r="F75" s="301">
        <f t="shared" si="10"/>
        <v>0</v>
      </c>
      <c r="G75" s="301">
        <f t="shared" si="11"/>
        <v>0</v>
      </c>
      <c r="H75" s="301">
        <f t="shared" si="12"/>
        <v>0</v>
      </c>
    </row>
    <row r="76" spans="1:8">
      <c r="A76" s="95"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c r="A77" s="95" t="str">
        <f t="shared" si="5"/>
        <v>Wheat</v>
      </c>
      <c r="B77" s="301">
        <f t="shared" si="6"/>
        <v>0</v>
      </c>
      <c r="C77" s="301">
        <f t="shared" si="7"/>
        <v>0</v>
      </c>
      <c r="D77" s="301">
        <f t="shared" si="8"/>
        <v>0</v>
      </c>
      <c r="E77" s="301">
        <f t="shared" si="9"/>
        <v>0</v>
      </c>
      <c r="F77" s="301">
        <f t="shared" si="10"/>
        <v>0</v>
      </c>
      <c r="G77" s="301">
        <f t="shared" si="11"/>
        <v>0</v>
      </c>
      <c r="H77" s="301">
        <f t="shared" si="12"/>
        <v>0</v>
      </c>
    </row>
    <row r="78" spans="1:8">
      <c r="A78" s="95" t="str">
        <f t="shared" si="5"/>
        <v>Bengal Gram/Channa</v>
      </c>
      <c r="B78" s="301">
        <f t="shared" si="6"/>
        <v>121.5</v>
      </c>
      <c r="C78" s="301">
        <f t="shared" si="7"/>
        <v>133.65</v>
      </c>
      <c r="D78" s="301">
        <f t="shared" si="8"/>
        <v>145.80000000000004</v>
      </c>
      <c r="E78" s="301">
        <f t="shared" si="9"/>
        <v>157.95000000000005</v>
      </c>
      <c r="F78" s="301">
        <f t="shared" si="10"/>
        <v>170.10000000000005</v>
      </c>
      <c r="G78" s="301">
        <f t="shared" si="11"/>
        <v>182.25000000000006</v>
      </c>
      <c r="H78" s="301">
        <f t="shared" si="12"/>
        <v>194.40000000000009</v>
      </c>
    </row>
    <row r="79" spans="1:8">
      <c r="A79" s="95" t="str">
        <f t="shared" si="5"/>
        <v>Jawar</v>
      </c>
      <c r="B79" s="301">
        <f t="shared" si="6"/>
        <v>256.5</v>
      </c>
      <c r="C79" s="301">
        <f t="shared" si="7"/>
        <v>282.15000000000003</v>
      </c>
      <c r="D79" s="301">
        <f t="shared" si="8"/>
        <v>307.80000000000007</v>
      </c>
      <c r="E79" s="301">
        <f t="shared" si="9"/>
        <v>333.4500000000001</v>
      </c>
      <c r="F79" s="301">
        <f t="shared" si="10"/>
        <v>359.10000000000014</v>
      </c>
      <c r="G79" s="301">
        <f t="shared" si="11"/>
        <v>384.75000000000017</v>
      </c>
      <c r="H79" s="301">
        <f t="shared" si="12"/>
        <v>410.4000000000002</v>
      </c>
    </row>
    <row r="80" spans="1:8">
      <c r="A80" s="95" t="str">
        <f t="shared" si="5"/>
        <v>Maize</v>
      </c>
      <c r="B80" s="301">
        <f t="shared" si="6"/>
        <v>432</v>
      </c>
      <c r="C80" s="301">
        <f t="shared" si="7"/>
        <v>475.20000000000005</v>
      </c>
      <c r="D80" s="301">
        <f t="shared" si="8"/>
        <v>518.40000000000009</v>
      </c>
      <c r="E80" s="301">
        <f t="shared" si="9"/>
        <v>561.60000000000014</v>
      </c>
      <c r="F80" s="301">
        <f t="shared" si="10"/>
        <v>604.80000000000018</v>
      </c>
      <c r="G80" s="301">
        <f t="shared" si="11"/>
        <v>648.00000000000023</v>
      </c>
      <c r="H80" s="301">
        <f t="shared" si="12"/>
        <v>691.20000000000027</v>
      </c>
    </row>
    <row r="81" spans="1:12">
      <c r="A81" s="95"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c r="A82" s="95">
        <f t="shared" si="5"/>
        <v>0</v>
      </c>
      <c r="B82" s="301">
        <f t="shared" si="6"/>
        <v>0</v>
      </c>
      <c r="C82" s="301">
        <f t="shared" si="7"/>
        <v>0</v>
      </c>
      <c r="D82" s="301">
        <f t="shared" si="8"/>
        <v>0</v>
      </c>
      <c r="E82" s="301">
        <f t="shared" si="9"/>
        <v>0</v>
      </c>
      <c r="F82" s="301">
        <f t="shared" si="10"/>
        <v>0</v>
      </c>
      <c r="G82" s="301">
        <f t="shared" si="11"/>
        <v>0</v>
      </c>
      <c r="H82" s="301">
        <f t="shared" si="12"/>
        <v>0</v>
      </c>
    </row>
    <row r="83" spans="1:12">
      <c r="A83" s="95">
        <f t="shared" si="5"/>
        <v>0</v>
      </c>
      <c r="B83" s="301">
        <f t="shared" si="6"/>
        <v>0</v>
      </c>
      <c r="C83" s="301">
        <f t="shared" si="7"/>
        <v>0</v>
      </c>
      <c r="D83" s="301">
        <f t="shared" si="8"/>
        <v>0</v>
      </c>
      <c r="E83" s="301">
        <f t="shared" si="9"/>
        <v>0</v>
      </c>
      <c r="F83" s="301">
        <f t="shared" si="10"/>
        <v>0</v>
      </c>
      <c r="G83" s="301">
        <f t="shared" si="11"/>
        <v>0</v>
      </c>
      <c r="H83" s="301">
        <f t="shared" si="12"/>
        <v>0</v>
      </c>
    </row>
    <row r="84" spans="1:12">
      <c r="A84" s="95">
        <f t="shared" si="5"/>
        <v>0</v>
      </c>
      <c r="B84" s="301">
        <f t="shared" si="6"/>
        <v>0</v>
      </c>
      <c r="C84" s="301">
        <f t="shared" ref="C84:H89" si="13">C27*$B$63</f>
        <v>0</v>
      </c>
      <c r="D84" s="301">
        <f t="shared" si="13"/>
        <v>0</v>
      </c>
      <c r="E84" s="301">
        <f t="shared" si="13"/>
        <v>0</v>
      </c>
      <c r="F84" s="301">
        <f t="shared" si="13"/>
        <v>0</v>
      </c>
      <c r="G84" s="301">
        <f t="shared" si="13"/>
        <v>0</v>
      </c>
      <c r="H84" s="301">
        <f t="shared" si="13"/>
        <v>0</v>
      </c>
    </row>
    <row r="85" spans="1:12">
      <c r="A85" s="95" t="str">
        <f t="shared" si="5"/>
        <v>Groundnut</v>
      </c>
      <c r="B85" s="301">
        <f t="shared" si="6"/>
        <v>0</v>
      </c>
      <c r="C85" s="301">
        <f t="shared" si="13"/>
        <v>0</v>
      </c>
      <c r="D85" s="301">
        <f t="shared" si="13"/>
        <v>0</v>
      </c>
      <c r="E85" s="301">
        <f t="shared" si="13"/>
        <v>0</v>
      </c>
      <c r="F85" s="301">
        <f t="shared" si="13"/>
        <v>0</v>
      </c>
      <c r="G85" s="301">
        <f t="shared" si="13"/>
        <v>0</v>
      </c>
      <c r="H85" s="301">
        <f t="shared" si="13"/>
        <v>0</v>
      </c>
    </row>
    <row r="86" spans="1:12">
      <c r="A86" s="95">
        <f t="shared" si="5"/>
        <v>0</v>
      </c>
      <c r="B86" s="301">
        <f t="shared" si="6"/>
        <v>0</v>
      </c>
      <c r="C86" s="301">
        <f t="shared" si="13"/>
        <v>0</v>
      </c>
      <c r="D86" s="301">
        <f t="shared" si="13"/>
        <v>0</v>
      </c>
      <c r="E86" s="301">
        <f t="shared" si="13"/>
        <v>0</v>
      </c>
      <c r="F86" s="301">
        <f t="shared" si="13"/>
        <v>0</v>
      </c>
      <c r="G86" s="301">
        <f t="shared" si="13"/>
        <v>0</v>
      </c>
      <c r="H86" s="301">
        <f t="shared" si="13"/>
        <v>0</v>
      </c>
    </row>
    <row r="87" spans="1:12">
      <c r="A87" s="95">
        <f t="shared" si="5"/>
        <v>0</v>
      </c>
      <c r="B87" s="301">
        <f t="shared" si="6"/>
        <v>0</v>
      </c>
      <c r="C87" s="301">
        <f t="shared" si="13"/>
        <v>0</v>
      </c>
      <c r="D87" s="301">
        <f t="shared" si="13"/>
        <v>0</v>
      </c>
      <c r="E87" s="301">
        <f t="shared" si="13"/>
        <v>0</v>
      </c>
      <c r="F87" s="301">
        <f t="shared" si="13"/>
        <v>0</v>
      </c>
      <c r="G87" s="301">
        <f t="shared" si="13"/>
        <v>0</v>
      </c>
      <c r="H87" s="301">
        <f t="shared" si="13"/>
        <v>0</v>
      </c>
    </row>
    <row r="88" spans="1:12">
      <c r="A88" s="95">
        <f t="shared" si="5"/>
        <v>0</v>
      </c>
      <c r="B88" s="301">
        <f t="shared" si="6"/>
        <v>0</v>
      </c>
      <c r="C88" s="301">
        <f t="shared" si="13"/>
        <v>0</v>
      </c>
      <c r="D88" s="301">
        <f t="shared" si="13"/>
        <v>0</v>
      </c>
      <c r="E88" s="301">
        <f t="shared" si="13"/>
        <v>0</v>
      </c>
      <c r="F88" s="301">
        <f t="shared" si="13"/>
        <v>0</v>
      </c>
      <c r="G88" s="301">
        <f t="shared" si="13"/>
        <v>0</v>
      </c>
      <c r="H88" s="301">
        <f t="shared" si="13"/>
        <v>0</v>
      </c>
    </row>
    <row r="89" spans="1:12">
      <c r="A89" s="95">
        <f t="shared" si="5"/>
        <v>0</v>
      </c>
      <c r="B89" s="301">
        <f t="shared" si="6"/>
        <v>0</v>
      </c>
      <c r="C89" s="301">
        <f t="shared" si="13"/>
        <v>0</v>
      </c>
      <c r="D89" s="301">
        <f t="shared" si="13"/>
        <v>0</v>
      </c>
      <c r="E89" s="301">
        <f t="shared" si="13"/>
        <v>0</v>
      </c>
      <c r="F89" s="301">
        <f t="shared" si="13"/>
        <v>0</v>
      </c>
      <c r="G89" s="301">
        <f t="shared" si="13"/>
        <v>0</v>
      </c>
      <c r="H89" s="301">
        <f t="shared" si="13"/>
        <v>0</v>
      </c>
    </row>
    <row r="90" spans="1:12">
      <c r="A90" s="95"/>
      <c r="B90" s="301"/>
      <c r="C90" s="301"/>
      <c r="D90" s="301"/>
      <c r="E90" s="301"/>
      <c r="F90" s="301"/>
      <c r="G90" s="301"/>
      <c r="H90" s="301"/>
      <c r="J90" s="323"/>
      <c r="K90" s="323"/>
      <c r="L90" s="323"/>
    </row>
    <row r="91" spans="1:12">
      <c r="A91" s="95" t="str">
        <f t="shared" ref="A91:A109" si="14">A34</f>
        <v>Fruit  &amp; Vegetables Crop Production Details</v>
      </c>
      <c r="B91" s="301"/>
      <c r="C91" s="301"/>
      <c r="D91" s="301"/>
      <c r="E91" s="301"/>
      <c r="F91" s="301"/>
      <c r="G91" s="301"/>
      <c r="H91" s="301"/>
      <c r="J91" s="323"/>
      <c r="K91" s="323"/>
      <c r="L91" s="323"/>
    </row>
    <row r="92" spans="1:12">
      <c r="A92" s="95" t="str">
        <f t="shared" si="14"/>
        <v>Onion</v>
      </c>
      <c r="B92" s="301">
        <f t="shared" ref="B92:H101" si="15">B35</f>
        <v>0</v>
      </c>
      <c r="C92" s="301">
        <f t="shared" si="15"/>
        <v>0</v>
      </c>
      <c r="D92" s="301">
        <f t="shared" si="15"/>
        <v>0</v>
      </c>
      <c r="E92" s="301">
        <f t="shared" si="15"/>
        <v>0</v>
      </c>
      <c r="F92" s="301">
        <f t="shared" si="15"/>
        <v>0</v>
      </c>
      <c r="G92" s="301">
        <f t="shared" si="15"/>
        <v>0</v>
      </c>
      <c r="H92" s="301">
        <f t="shared" si="15"/>
        <v>0</v>
      </c>
      <c r="J92" s="323"/>
      <c r="K92" s="323"/>
      <c r="L92" s="323"/>
    </row>
    <row r="93" spans="1:12">
      <c r="A93" s="95" t="str">
        <f t="shared" si="14"/>
        <v>Tomato</v>
      </c>
      <c r="B93" s="301">
        <f t="shared" si="15"/>
        <v>0</v>
      </c>
      <c r="C93" s="301">
        <f t="shared" si="15"/>
        <v>0</v>
      </c>
      <c r="D93" s="301">
        <f t="shared" si="15"/>
        <v>0</v>
      </c>
      <c r="E93" s="301">
        <f t="shared" si="15"/>
        <v>0</v>
      </c>
      <c r="F93" s="301">
        <f t="shared" si="15"/>
        <v>0</v>
      </c>
      <c r="G93" s="301">
        <f t="shared" si="15"/>
        <v>0</v>
      </c>
      <c r="H93" s="301">
        <f t="shared" si="15"/>
        <v>0</v>
      </c>
      <c r="J93" s="323"/>
      <c r="K93" s="323"/>
      <c r="L93" s="323"/>
    </row>
    <row r="94" spans="1:12">
      <c r="A94" s="95" t="str">
        <f t="shared" si="14"/>
        <v>Okra</v>
      </c>
      <c r="B94" s="301">
        <f t="shared" si="15"/>
        <v>0</v>
      </c>
      <c r="C94" s="301">
        <f t="shared" si="15"/>
        <v>0</v>
      </c>
      <c r="D94" s="301">
        <f t="shared" si="15"/>
        <v>0</v>
      </c>
      <c r="E94" s="301">
        <f t="shared" si="15"/>
        <v>0</v>
      </c>
      <c r="F94" s="301">
        <f t="shared" si="15"/>
        <v>0</v>
      </c>
      <c r="G94" s="301">
        <f t="shared" si="15"/>
        <v>0</v>
      </c>
      <c r="H94" s="301">
        <f t="shared" si="15"/>
        <v>0</v>
      </c>
      <c r="J94" s="323"/>
      <c r="K94" s="323"/>
      <c r="L94" s="323"/>
    </row>
    <row r="95" spans="1:12">
      <c r="A95" s="95" t="str">
        <f t="shared" si="14"/>
        <v>Chilli</v>
      </c>
      <c r="B95" s="301">
        <f t="shared" si="15"/>
        <v>0</v>
      </c>
      <c r="C95" s="301">
        <f t="shared" si="15"/>
        <v>0</v>
      </c>
      <c r="D95" s="301">
        <f t="shared" si="15"/>
        <v>0</v>
      </c>
      <c r="E95" s="301">
        <f t="shared" si="15"/>
        <v>0</v>
      </c>
      <c r="F95" s="301">
        <f t="shared" si="15"/>
        <v>0</v>
      </c>
      <c r="G95" s="301">
        <f t="shared" si="15"/>
        <v>0</v>
      </c>
      <c r="H95" s="301">
        <f t="shared" si="15"/>
        <v>0</v>
      </c>
      <c r="J95" s="323"/>
      <c r="K95" s="323"/>
      <c r="L95" s="323"/>
    </row>
    <row r="96" spans="1:12">
      <c r="A96" s="95" t="str">
        <f t="shared" si="14"/>
        <v>Potato</v>
      </c>
      <c r="B96" s="301">
        <f t="shared" si="15"/>
        <v>0</v>
      </c>
      <c r="C96" s="301">
        <f t="shared" si="15"/>
        <v>0</v>
      </c>
      <c r="D96" s="301">
        <f t="shared" si="15"/>
        <v>0</v>
      </c>
      <c r="E96" s="301">
        <f t="shared" si="15"/>
        <v>0</v>
      </c>
      <c r="F96" s="301">
        <f t="shared" si="15"/>
        <v>0</v>
      </c>
      <c r="G96" s="301">
        <f t="shared" si="15"/>
        <v>0</v>
      </c>
      <c r="H96" s="301">
        <f t="shared" si="15"/>
        <v>0</v>
      </c>
      <c r="J96" s="323"/>
      <c r="K96" s="323"/>
      <c r="L96" s="323"/>
    </row>
    <row r="97" spans="1:12">
      <c r="A97" s="95">
        <f t="shared" si="14"/>
        <v>0</v>
      </c>
      <c r="B97" s="301">
        <f t="shared" si="15"/>
        <v>0</v>
      </c>
      <c r="C97" s="301">
        <f t="shared" si="15"/>
        <v>0</v>
      </c>
      <c r="D97" s="301">
        <f t="shared" si="15"/>
        <v>0</v>
      </c>
      <c r="E97" s="301">
        <f t="shared" si="15"/>
        <v>0</v>
      </c>
      <c r="F97" s="301">
        <f t="shared" si="15"/>
        <v>0</v>
      </c>
      <c r="G97" s="301">
        <f t="shared" si="15"/>
        <v>0</v>
      </c>
      <c r="H97" s="301">
        <f t="shared" si="15"/>
        <v>0</v>
      </c>
      <c r="J97" s="323"/>
      <c r="K97" s="323"/>
      <c r="L97" s="323"/>
    </row>
    <row r="98" spans="1:12">
      <c r="A98" s="95">
        <f t="shared" si="14"/>
        <v>0</v>
      </c>
      <c r="B98" s="301">
        <f t="shared" si="15"/>
        <v>0</v>
      </c>
      <c r="C98" s="301">
        <f t="shared" si="15"/>
        <v>0</v>
      </c>
      <c r="D98" s="301">
        <f t="shared" si="15"/>
        <v>0</v>
      </c>
      <c r="E98" s="301">
        <f t="shared" si="15"/>
        <v>0</v>
      </c>
      <c r="F98" s="301">
        <f t="shared" si="15"/>
        <v>0</v>
      </c>
      <c r="G98" s="301">
        <f t="shared" si="15"/>
        <v>0</v>
      </c>
      <c r="H98" s="301">
        <f t="shared" si="15"/>
        <v>0</v>
      </c>
      <c r="J98" s="323"/>
      <c r="K98" s="323"/>
      <c r="L98" s="323"/>
    </row>
    <row r="99" spans="1:12">
      <c r="A99" s="95">
        <f t="shared" si="14"/>
        <v>0</v>
      </c>
      <c r="B99" s="301">
        <f t="shared" si="15"/>
        <v>0</v>
      </c>
      <c r="C99" s="301">
        <f t="shared" si="15"/>
        <v>0</v>
      </c>
      <c r="D99" s="301">
        <f t="shared" si="15"/>
        <v>0</v>
      </c>
      <c r="E99" s="301">
        <f t="shared" si="15"/>
        <v>0</v>
      </c>
      <c r="F99" s="301">
        <f t="shared" si="15"/>
        <v>0</v>
      </c>
      <c r="G99" s="301">
        <f t="shared" si="15"/>
        <v>0</v>
      </c>
      <c r="H99" s="301">
        <f t="shared" si="15"/>
        <v>0</v>
      </c>
      <c r="J99" s="323"/>
      <c r="K99" s="323"/>
      <c r="L99" s="323"/>
    </row>
    <row r="100" spans="1:12">
      <c r="A100" s="95">
        <f t="shared" si="14"/>
        <v>0</v>
      </c>
      <c r="B100" s="301">
        <f t="shared" si="15"/>
        <v>0</v>
      </c>
      <c r="C100" s="301">
        <f t="shared" si="15"/>
        <v>0</v>
      </c>
      <c r="D100" s="301">
        <f t="shared" si="15"/>
        <v>0</v>
      </c>
      <c r="E100" s="301">
        <f t="shared" si="15"/>
        <v>0</v>
      </c>
      <c r="F100" s="301">
        <f t="shared" si="15"/>
        <v>0</v>
      </c>
      <c r="G100" s="301">
        <f t="shared" si="15"/>
        <v>0</v>
      </c>
      <c r="H100" s="301">
        <f t="shared" si="15"/>
        <v>0</v>
      </c>
      <c r="J100" s="323"/>
      <c r="K100" s="323"/>
      <c r="L100" s="323"/>
    </row>
    <row r="101" spans="1:12">
      <c r="A101" s="95" t="str">
        <f t="shared" si="14"/>
        <v>Onion</v>
      </c>
      <c r="B101" s="301">
        <f t="shared" si="15"/>
        <v>0</v>
      </c>
      <c r="C101" s="301">
        <f t="shared" si="15"/>
        <v>0</v>
      </c>
      <c r="D101" s="301">
        <f t="shared" si="15"/>
        <v>0</v>
      </c>
      <c r="E101" s="301">
        <f t="shared" si="15"/>
        <v>0</v>
      </c>
      <c r="F101" s="301">
        <f t="shared" si="15"/>
        <v>0</v>
      </c>
      <c r="G101" s="301">
        <f t="shared" si="15"/>
        <v>0</v>
      </c>
      <c r="H101" s="301">
        <f t="shared" si="15"/>
        <v>0</v>
      </c>
      <c r="J101" s="323"/>
      <c r="K101" s="323"/>
      <c r="L101" s="323"/>
    </row>
    <row r="102" spans="1:12">
      <c r="A102" s="95" t="str">
        <f t="shared" si="14"/>
        <v>Tomato</v>
      </c>
      <c r="B102" s="301">
        <f t="shared" ref="B102:H109" si="16">B45</f>
        <v>0</v>
      </c>
      <c r="C102" s="301">
        <f t="shared" si="16"/>
        <v>0</v>
      </c>
      <c r="D102" s="301">
        <f t="shared" si="16"/>
        <v>0</v>
      </c>
      <c r="E102" s="301">
        <f t="shared" si="16"/>
        <v>0</v>
      </c>
      <c r="F102" s="301">
        <f t="shared" si="16"/>
        <v>0</v>
      </c>
      <c r="G102" s="301">
        <f t="shared" si="16"/>
        <v>0</v>
      </c>
      <c r="H102" s="301">
        <f t="shared" si="16"/>
        <v>0</v>
      </c>
      <c r="J102" s="323"/>
      <c r="K102" s="323"/>
      <c r="L102" s="323"/>
    </row>
    <row r="103" spans="1:12">
      <c r="A103" s="95" t="str">
        <f t="shared" si="14"/>
        <v>Okra</v>
      </c>
      <c r="B103" s="301">
        <f t="shared" si="16"/>
        <v>0</v>
      </c>
      <c r="C103" s="301">
        <f t="shared" si="16"/>
        <v>0</v>
      </c>
      <c r="D103" s="301">
        <f t="shared" si="16"/>
        <v>0</v>
      </c>
      <c r="E103" s="301">
        <f t="shared" si="16"/>
        <v>0</v>
      </c>
      <c r="F103" s="301">
        <f t="shared" si="16"/>
        <v>0</v>
      </c>
      <c r="G103" s="301">
        <f t="shared" si="16"/>
        <v>0</v>
      </c>
      <c r="H103" s="301">
        <f t="shared" si="16"/>
        <v>0</v>
      </c>
      <c r="J103" s="323"/>
      <c r="K103" s="323"/>
      <c r="L103" s="323"/>
    </row>
    <row r="104" spans="1:12">
      <c r="A104" s="95" t="str">
        <f t="shared" si="14"/>
        <v>Chilli</v>
      </c>
      <c r="B104" s="301">
        <f t="shared" si="16"/>
        <v>0</v>
      </c>
      <c r="C104" s="301">
        <f t="shared" si="16"/>
        <v>0</v>
      </c>
      <c r="D104" s="301">
        <f t="shared" si="16"/>
        <v>0</v>
      </c>
      <c r="E104" s="301">
        <f t="shared" si="16"/>
        <v>0</v>
      </c>
      <c r="F104" s="301">
        <f t="shared" si="16"/>
        <v>0</v>
      </c>
      <c r="G104" s="301">
        <f t="shared" si="16"/>
        <v>0</v>
      </c>
      <c r="H104" s="301">
        <f t="shared" si="16"/>
        <v>0</v>
      </c>
      <c r="J104" s="323"/>
      <c r="K104" s="323"/>
      <c r="L104" s="323"/>
    </row>
    <row r="105" spans="1:12">
      <c r="A105" s="95" t="str">
        <f t="shared" si="14"/>
        <v>Brinjal</v>
      </c>
      <c r="B105" s="301">
        <f t="shared" si="16"/>
        <v>0</v>
      </c>
      <c r="C105" s="301">
        <f t="shared" si="16"/>
        <v>0</v>
      </c>
      <c r="D105" s="301">
        <f t="shared" si="16"/>
        <v>0</v>
      </c>
      <c r="E105" s="301">
        <f t="shared" si="16"/>
        <v>0</v>
      </c>
      <c r="F105" s="301">
        <f t="shared" si="16"/>
        <v>0</v>
      </c>
      <c r="G105" s="301">
        <f t="shared" si="16"/>
        <v>0</v>
      </c>
      <c r="H105" s="301">
        <f t="shared" si="16"/>
        <v>0</v>
      </c>
      <c r="J105" s="323"/>
      <c r="K105" s="323"/>
      <c r="L105" s="323"/>
    </row>
    <row r="106" spans="1:12">
      <c r="A106" s="95">
        <f t="shared" si="14"/>
        <v>0</v>
      </c>
      <c r="B106" s="301">
        <f t="shared" si="16"/>
        <v>0</v>
      </c>
      <c r="C106" s="301">
        <f t="shared" si="16"/>
        <v>0</v>
      </c>
      <c r="D106" s="301">
        <f t="shared" si="16"/>
        <v>0</v>
      </c>
      <c r="E106" s="301">
        <f t="shared" si="16"/>
        <v>0</v>
      </c>
      <c r="F106" s="301">
        <f t="shared" si="16"/>
        <v>0</v>
      </c>
      <c r="G106" s="301">
        <f t="shared" si="16"/>
        <v>0</v>
      </c>
      <c r="H106" s="301">
        <f t="shared" si="16"/>
        <v>0</v>
      </c>
      <c r="J106" s="323"/>
      <c r="K106" s="323"/>
      <c r="L106" s="323"/>
    </row>
    <row r="107" spans="1:12">
      <c r="A107" s="95">
        <f t="shared" si="14"/>
        <v>0</v>
      </c>
      <c r="B107" s="301">
        <f t="shared" si="16"/>
        <v>0</v>
      </c>
      <c r="C107" s="301">
        <f t="shared" si="16"/>
        <v>0</v>
      </c>
      <c r="D107" s="301">
        <f t="shared" si="16"/>
        <v>0</v>
      </c>
      <c r="E107" s="301">
        <f t="shared" si="16"/>
        <v>0</v>
      </c>
      <c r="F107" s="301">
        <f t="shared" si="16"/>
        <v>0</v>
      </c>
      <c r="G107" s="301">
        <f t="shared" si="16"/>
        <v>0</v>
      </c>
      <c r="H107" s="301">
        <f t="shared" si="16"/>
        <v>0</v>
      </c>
      <c r="J107" s="323"/>
      <c r="K107" s="323"/>
      <c r="L107" s="323"/>
    </row>
    <row r="108" spans="1:12">
      <c r="A108" s="95">
        <f t="shared" si="14"/>
        <v>0</v>
      </c>
      <c r="B108" s="301">
        <f t="shared" si="16"/>
        <v>0</v>
      </c>
      <c r="C108" s="301">
        <f t="shared" si="16"/>
        <v>0</v>
      </c>
      <c r="D108" s="301">
        <f t="shared" si="16"/>
        <v>0</v>
      </c>
      <c r="E108" s="301">
        <f t="shared" si="16"/>
        <v>0</v>
      </c>
      <c r="F108" s="301">
        <f t="shared" si="16"/>
        <v>0</v>
      </c>
      <c r="G108" s="301">
        <f t="shared" si="16"/>
        <v>0</v>
      </c>
      <c r="H108" s="301">
        <f t="shared" si="16"/>
        <v>0</v>
      </c>
      <c r="J108" s="323"/>
      <c r="K108" s="323"/>
      <c r="L108" s="323"/>
    </row>
    <row r="109" spans="1:12">
      <c r="A109" s="95">
        <f t="shared" si="14"/>
        <v>0</v>
      </c>
      <c r="B109" s="301">
        <f t="shared" si="16"/>
        <v>0</v>
      </c>
      <c r="C109" s="301">
        <f t="shared" si="16"/>
        <v>0</v>
      </c>
      <c r="D109" s="301">
        <f t="shared" si="16"/>
        <v>0</v>
      </c>
      <c r="E109" s="301">
        <f t="shared" si="16"/>
        <v>0</v>
      </c>
      <c r="F109" s="301">
        <f t="shared" si="16"/>
        <v>0</v>
      </c>
      <c r="G109" s="301">
        <f t="shared" si="16"/>
        <v>0</v>
      </c>
      <c r="H109" s="301">
        <f t="shared" si="16"/>
        <v>0</v>
      </c>
      <c r="J109" s="323"/>
      <c r="K109" s="323"/>
      <c r="L109" s="323"/>
    </row>
    <row r="110" spans="1:12">
      <c r="A110" s="95">
        <f t="shared" ref="A110:A113" si="17">A53</f>
        <v>0</v>
      </c>
      <c r="B110" s="301"/>
      <c r="C110" s="301"/>
      <c r="D110" s="301"/>
      <c r="E110" s="301"/>
      <c r="F110" s="301"/>
      <c r="G110" s="301"/>
      <c r="H110" s="301"/>
      <c r="J110" s="323"/>
      <c r="K110" s="323"/>
      <c r="L110" s="323"/>
    </row>
    <row r="111" spans="1:12">
      <c r="A111" s="95">
        <f t="shared" si="17"/>
        <v>0</v>
      </c>
      <c r="B111" s="301"/>
      <c r="C111" s="301"/>
      <c r="D111" s="301"/>
      <c r="E111" s="301"/>
      <c r="F111" s="301"/>
      <c r="G111" s="301"/>
      <c r="H111" s="301"/>
      <c r="J111" s="323"/>
      <c r="K111" s="323"/>
      <c r="L111" s="323"/>
    </row>
    <row r="112" spans="1:12">
      <c r="A112" s="95">
        <f t="shared" si="17"/>
        <v>0</v>
      </c>
      <c r="B112" s="301"/>
      <c r="C112" s="301"/>
      <c r="D112" s="301"/>
      <c r="E112" s="301"/>
      <c r="F112" s="301"/>
      <c r="G112" s="301"/>
      <c r="H112" s="301"/>
      <c r="J112" s="323"/>
      <c r="K112" s="323"/>
      <c r="L112" s="323"/>
    </row>
    <row r="113" spans="1:12">
      <c r="A113" s="95" t="str">
        <f t="shared" si="17"/>
        <v>Pomegranate</v>
      </c>
      <c r="B113" s="301">
        <f t="shared" ref="B113:H116" si="18">B56</f>
        <v>0</v>
      </c>
      <c r="C113" s="301">
        <f t="shared" si="18"/>
        <v>0</v>
      </c>
      <c r="D113" s="301">
        <f t="shared" si="18"/>
        <v>0</v>
      </c>
      <c r="E113" s="301">
        <f t="shared" si="18"/>
        <v>0</v>
      </c>
      <c r="F113" s="301">
        <f t="shared" si="18"/>
        <v>0</v>
      </c>
      <c r="G113" s="301">
        <f t="shared" si="18"/>
        <v>0</v>
      </c>
      <c r="H113" s="301">
        <f t="shared" si="18"/>
        <v>0</v>
      </c>
      <c r="J113" s="323"/>
      <c r="K113" s="323"/>
      <c r="L113" s="323"/>
    </row>
    <row r="114" spans="1:12">
      <c r="A114" s="95" t="str">
        <f>A57</f>
        <v>Custard Apple</v>
      </c>
      <c r="B114" s="301">
        <f t="shared" si="18"/>
        <v>0</v>
      </c>
      <c r="C114" s="301">
        <f t="shared" si="18"/>
        <v>0</v>
      </c>
      <c r="D114" s="301">
        <f t="shared" si="18"/>
        <v>0</v>
      </c>
      <c r="E114" s="301">
        <f t="shared" si="18"/>
        <v>0</v>
      </c>
      <c r="F114" s="301">
        <f t="shared" si="18"/>
        <v>0</v>
      </c>
      <c r="G114" s="301">
        <f t="shared" si="18"/>
        <v>0</v>
      </c>
      <c r="H114" s="301">
        <f t="shared" si="18"/>
        <v>0</v>
      </c>
      <c r="J114" s="323"/>
      <c r="K114" s="323"/>
      <c r="L114" s="323"/>
    </row>
    <row r="115" spans="1:12">
      <c r="A115" s="95" t="str">
        <f>A58</f>
        <v>Guava</v>
      </c>
      <c r="B115" s="301">
        <f t="shared" si="18"/>
        <v>0</v>
      </c>
      <c r="C115" s="301">
        <f t="shared" si="18"/>
        <v>0</v>
      </c>
      <c r="D115" s="301">
        <f t="shared" si="18"/>
        <v>0</v>
      </c>
      <c r="E115" s="301">
        <f t="shared" si="18"/>
        <v>0</v>
      </c>
      <c r="F115" s="301">
        <f t="shared" si="18"/>
        <v>0</v>
      </c>
      <c r="G115" s="301">
        <f t="shared" si="18"/>
        <v>0</v>
      </c>
      <c r="H115" s="301">
        <f t="shared" si="18"/>
        <v>0</v>
      </c>
      <c r="J115" s="323"/>
      <c r="K115" s="323"/>
      <c r="L115" s="323"/>
    </row>
    <row r="116" spans="1:12">
      <c r="A116" s="95" t="str">
        <f>A59</f>
        <v>Citrus</v>
      </c>
      <c r="B116" s="301">
        <f t="shared" si="18"/>
        <v>0</v>
      </c>
      <c r="C116" s="301">
        <f t="shared" si="18"/>
        <v>0</v>
      </c>
      <c r="D116" s="301">
        <f t="shared" si="18"/>
        <v>0</v>
      </c>
      <c r="E116" s="301">
        <f t="shared" si="18"/>
        <v>0</v>
      </c>
      <c r="F116" s="301">
        <f t="shared" si="18"/>
        <v>0</v>
      </c>
      <c r="G116" s="301">
        <f t="shared" si="18"/>
        <v>0</v>
      </c>
      <c r="H116" s="301">
        <f t="shared" si="18"/>
        <v>0</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9">A68</f>
        <v>Soybean</v>
      </c>
      <c r="B120" s="302">
        <f t="shared" ref="B120:H129" si="20">B68-(B68*$G$6)</f>
        <v>1414.26</v>
      </c>
      <c r="C120" s="302">
        <f t="shared" si="20"/>
        <v>1555.6860000000001</v>
      </c>
      <c r="D120" s="302">
        <f t="shared" si="20"/>
        <v>1697.1120000000003</v>
      </c>
      <c r="E120" s="302">
        <f t="shared" si="20"/>
        <v>1838.5380000000005</v>
      </c>
      <c r="F120" s="302">
        <f t="shared" si="20"/>
        <v>1979.9640000000004</v>
      </c>
      <c r="G120" s="302">
        <f t="shared" si="20"/>
        <v>2121.3900000000003</v>
      </c>
      <c r="H120" s="302">
        <f t="shared" si="20"/>
        <v>2262.8160000000007</v>
      </c>
    </row>
    <row r="121" spans="1:12">
      <c r="A121" s="99" t="str">
        <f t="shared" si="19"/>
        <v>Red Gram/Tur</v>
      </c>
      <c r="B121" s="302">
        <f t="shared" si="20"/>
        <v>232.21800000000002</v>
      </c>
      <c r="C121" s="302">
        <f t="shared" si="20"/>
        <v>255.43980000000002</v>
      </c>
      <c r="D121" s="302">
        <f t="shared" si="20"/>
        <v>278.66160000000008</v>
      </c>
      <c r="E121" s="302">
        <f t="shared" si="20"/>
        <v>301.88340000000011</v>
      </c>
      <c r="F121" s="302">
        <f t="shared" si="20"/>
        <v>325.10520000000008</v>
      </c>
      <c r="G121" s="302">
        <f t="shared" si="20"/>
        <v>348.32700000000011</v>
      </c>
      <c r="H121" s="302">
        <f t="shared" si="20"/>
        <v>371.5488000000002</v>
      </c>
    </row>
    <row r="122" spans="1:12">
      <c r="A122" s="99" t="str">
        <f t="shared" si="19"/>
        <v>Paddy/Rice</v>
      </c>
      <c r="B122" s="302">
        <f t="shared" si="20"/>
        <v>0</v>
      </c>
      <c r="C122" s="302">
        <f t="shared" si="20"/>
        <v>0</v>
      </c>
      <c r="D122" s="302">
        <f t="shared" si="20"/>
        <v>0</v>
      </c>
      <c r="E122" s="302">
        <f t="shared" si="20"/>
        <v>0</v>
      </c>
      <c r="F122" s="302">
        <f t="shared" si="20"/>
        <v>0</v>
      </c>
      <c r="G122" s="302">
        <f t="shared" si="20"/>
        <v>0</v>
      </c>
      <c r="H122" s="302">
        <f t="shared" si="20"/>
        <v>0</v>
      </c>
    </row>
    <row r="123" spans="1:12">
      <c r="A123" s="99" t="str">
        <f t="shared" si="19"/>
        <v>Green Gram/ Moong</v>
      </c>
      <c r="B123" s="302">
        <f t="shared" si="20"/>
        <v>419.21460000000008</v>
      </c>
      <c r="C123" s="302">
        <f t="shared" si="20"/>
        <v>461.1360600000001</v>
      </c>
      <c r="D123" s="302">
        <f t="shared" si="20"/>
        <v>503.05752000000007</v>
      </c>
      <c r="E123" s="302">
        <f t="shared" si="20"/>
        <v>544.97898000000021</v>
      </c>
      <c r="F123" s="302">
        <f t="shared" si="20"/>
        <v>586.90044000000012</v>
      </c>
      <c r="G123" s="302">
        <f t="shared" si="20"/>
        <v>628.82190000000037</v>
      </c>
      <c r="H123" s="302">
        <f t="shared" si="20"/>
        <v>670.74336000000028</v>
      </c>
    </row>
    <row r="124" spans="1:12">
      <c r="A124" s="99" t="str">
        <f t="shared" si="19"/>
        <v>Maize</v>
      </c>
      <c r="B124" s="302">
        <f t="shared" si="20"/>
        <v>2619</v>
      </c>
      <c r="C124" s="302">
        <f t="shared" si="20"/>
        <v>2880.9000000000005</v>
      </c>
      <c r="D124" s="302">
        <f t="shared" si="20"/>
        <v>3142.8000000000006</v>
      </c>
      <c r="E124" s="302">
        <f t="shared" si="20"/>
        <v>3404.7000000000007</v>
      </c>
      <c r="F124" s="302">
        <f t="shared" si="20"/>
        <v>3666.6000000000008</v>
      </c>
      <c r="G124" s="302">
        <f t="shared" si="20"/>
        <v>3928.5000000000018</v>
      </c>
      <c r="H124" s="302">
        <f t="shared" si="20"/>
        <v>4190.4000000000015</v>
      </c>
    </row>
    <row r="125" spans="1:12">
      <c r="A125" s="99" t="str">
        <f t="shared" si="19"/>
        <v>Black Gram/Udid</v>
      </c>
      <c r="B125" s="302">
        <f t="shared" si="20"/>
        <v>329.99400000000003</v>
      </c>
      <c r="C125" s="302">
        <f t="shared" si="20"/>
        <v>362.99340000000001</v>
      </c>
      <c r="D125" s="302">
        <f t="shared" si="20"/>
        <v>395.99280000000005</v>
      </c>
      <c r="E125" s="302">
        <f t="shared" si="20"/>
        <v>428.99220000000014</v>
      </c>
      <c r="F125" s="302">
        <f t="shared" si="20"/>
        <v>461.99160000000018</v>
      </c>
      <c r="G125" s="302">
        <f t="shared" si="20"/>
        <v>494.99100000000016</v>
      </c>
      <c r="H125" s="302">
        <f t="shared" si="20"/>
        <v>527.99040000000014</v>
      </c>
    </row>
    <row r="126" spans="1:12">
      <c r="A126" s="99" t="str">
        <f t="shared" si="19"/>
        <v>Bajra</v>
      </c>
      <c r="B126" s="302">
        <f t="shared" si="20"/>
        <v>0</v>
      </c>
      <c r="C126" s="302">
        <f t="shared" si="20"/>
        <v>0</v>
      </c>
      <c r="D126" s="302">
        <f t="shared" si="20"/>
        <v>0</v>
      </c>
      <c r="E126" s="302">
        <f t="shared" si="20"/>
        <v>0</v>
      </c>
      <c r="F126" s="302">
        <f t="shared" si="20"/>
        <v>0</v>
      </c>
      <c r="G126" s="302">
        <f t="shared" si="20"/>
        <v>0</v>
      </c>
      <c r="H126" s="302">
        <f t="shared" si="20"/>
        <v>0</v>
      </c>
    </row>
    <row r="127" spans="1:12">
      <c r="A127" s="99" t="str">
        <f t="shared" si="19"/>
        <v>Jawar</v>
      </c>
      <c r="B127" s="302">
        <f t="shared" si="20"/>
        <v>0</v>
      </c>
      <c r="C127" s="302">
        <f t="shared" si="20"/>
        <v>0</v>
      </c>
      <c r="D127" s="302">
        <f t="shared" si="20"/>
        <v>0</v>
      </c>
      <c r="E127" s="302">
        <f t="shared" si="20"/>
        <v>0</v>
      </c>
      <c r="F127" s="302">
        <f t="shared" si="20"/>
        <v>0</v>
      </c>
      <c r="G127" s="302">
        <f t="shared" si="20"/>
        <v>0</v>
      </c>
      <c r="H127" s="302">
        <f t="shared" si="20"/>
        <v>0</v>
      </c>
    </row>
    <row r="128" spans="1:12">
      <c r="A128" s="99" t="str">
        <f t="shared" si="19"/>
        <v>Sunflower</v>
      </c>
      <c r="B128" s="302">
        <f t="shared" si="20"/>
        <v>0</v>
      </c>
      <c r="C128" s="302">
        <f t="shared" si="20"/>
        <v>0</v>
      </c>
      <c r="D128" s="302">
        <f t="shared" si="20"/>
        <v>0</v>
      </c>
      <c r="E128" s="302">
        <f t="shared" si="20"/>
        <v>0</v>
      </c>
      <c r="F128" s="302">
        <f t="shared" si="20"/>
        <v>0</v>
      </c>
      <c r="G128" s="302">
        <f t="shared" si="20"/>
        <v>0</v>
      </c>
      <c r="H128" s="302">
        <f t="shared" si="20"/>
        <v>0</v>
      </c>
    </row>
    <row r="129" spans="1:8">
      <c r="A129" s="99" t="str">
        <f t="shared" si="19"/>
        <v>Wheat</v>
      </c>
      <c r="B129" s="302">
        <f t="shared" si="20"/>
        <v>0</v>
      </c>
      <c r="C129" s="302">
        <f t="shared" si="20"/>
        <v>0</v>
      </c>
      <c r="D129" s="302">
        <f t="shared" si="20"/>
        <v>0</v>
      </c>
      <c r="E129" s="302">
        <f t="shared" si="20"/>
        <v>0</v>
      </c>
      <c r="F129" s="302">
        <f t="shared" si="20"/>
        <v>0</v>
      </c>
      <c r="G129" s="302">
        <f t="shared" si="20"/>
        <v>0</v>
      </c>
      <c r="H129" s="302">
        <f t="shared" si="20"/>
        <v>0</v>
      </c>
    </row>
    <row r="130" spans="1:8">
      <c r="A130" s="99" t="str">
        <f t="shared" si="19"/>
        <v>Bengal Gram/Channa</v>
      </c>
      <c r="B130" s="302">
        <f t="shared" ref="B130:H139" si="21">B78-(B78*$G$6)</f>
        <v>117.855</v>
      </c>
      <c r="C130" s="302">
        <f t="shared" si="21"/>
        <v>129.6405</v>
      </c>
      <c r="D130" s="302">
        <f t="shared" si="21"/>
        <v>141.42600000000004</v>
      </c>
      <c r="E130" s="302">
        <f t="shared" si="21"/>
        <v>153.21150000000006</v>
      </c>
      <c r="F130" s="302">
        <f t="shared" si="21"/>
        <v>164.99700000000004</v>
      </c>
      <c r="G130" s="302">
        <f t="shared" si="21"/>
        <v>176.78250000000006</v>
      </c>
      <c r="H130" s="302">
        <f t="shared" si="21"/>
        <v>188.5680000000001</v>
      </c>
    </row>
    <row r="131" spans="1:8">
      <c r="A131" s="99" t="str">
        <f t="shared" si="19"/>
        <v>Jawar</v>
      </c>
      <c r="B131" s="302">
        <f t="shared" si="21"/>
        <v>248.80500000000001</v>
      </c>
      <c r="C131" s="302">
        <f t="shared" si="21"/>
        <v>273.68550000000005</v>
      </c>
      <c r="D131" s="302">
        <f t="shared" si="21"/>
        <v>298.56600000000009</v>
      </c>
      <c r="E131" s="302">
        <f t="shared" si="21"/>
        <v>323.44650000000013</v>
      </c>
      <c r="F131" s="302">
        <f t="shared" si="21"/>
        <v>348.32700000000011</v>
      </c>
      <c r="G131" s="302">
        <f t="shared" si="21"/>
        <v>373.20750000000015</v>
      </c>
      <c r="H131" s="302">
        <f t="shared" si="21"/>
        <v>398.08800000000019</v>
      </c>
    </row>
    <row r="132" spans="1:8">
      <c r="A132" s="99" t="str">
        <f t="shared" si="19"/>
        <v>Maize</v>
      </c>
      <c r="B132" s="302">
        <f t="shared" si="21"/>
        <v>419.04</v>
      </c>
      <c r="C132" s="302">
        <f t="shared" si="21"/>
        <v>460.94400000000007</v>
      </c>
      <c r="D132" s="302">
        <f t="shared" si="21"/>
        <v>502.84800000000007</v>
      </c>
      <c r="E132" s="302">
        <f t="shared" si="21"/>
        <v>544.75200000000018</v>
      </c>
      <c r="F132" s="302">
        <f t="shared" si="21"/>
        <v>586.65600000000018</v>
      </c>
      <c r="G132" s="302">
        <f t="shared" si="21"/>
        <v>628.56000000000017</v>
      </c>
      <c r="H132" s="302">
        <f t="shared" si="21"/>
        <v>670.46400000000028</v>
      </c>
    </row>
    <row r="133" spans="1:8">
      <c r="A133" s="99" t="str">
        <f t="shared" si="19"/>
        <v>Safflower</v>
      </c>
      <c r="B133" s="302">
        <f t="shared" si="21"/>
        <v>0</v>
      </c>
      <c r="C133" s="302">
        <f t="shared" si="21"/>
        <v>0</v>
      </c>
      <c r="D133" s="302">
        <f t="shared" si="21"/>
        <v>0</v>
      </c>
      <c r="E133" s="302">
        <f t="shared" si="21"/>
        <v>0</v>
      </c>
      <c r="F133" s="302">
        <f t="shared" si="21"/>
        <v>0</v>
      </c>
      <c r="G133" s="302">
        <f t="shared" si="21"/>
        <v>0</v>
      </c>
      <c r="H133" s="302">
        <f t="shared" si="21"/>
        <v>0</v>
      </c>
    </row>
    <row r="134" spans="1:8">
      <c r="A134" s="99">
        <f t="shared" si="19"/>
        <v>0</v>
      </c>
      <c r="B134" s="302">
        <f t="shared" si="21"/>
        <v>0</v>
      </c>
      <c r="C134" s="302">
        <f t="shared" si="21"/>
        <v>0</v>
      </c>
      <c r="D134" s="302">
        <f t="shared" si="21"/>
        <v>0</v>
      </c>
      <c r="E134" s="302">
        <f t="shared" si="21"/>
        <v>0</v>
      </c>
      <c r="F134" s="302">
        <f t="shared" si="21"/>
        <v>0</v>
      </c>
      <c r="G134" s="302">
        <f t="shared" si="21"/>
        <v>0</v>
      </c>
      <c r="H134" s="302">
        <f t="shared" si="21"/>
        <v>0</v>
      </c>
    </row>
    <row r="135" spans="1:8">
      <c r="A135" s="99">
        <f t="shared" si="19"/>
        <v>0</v>
      </c>
      <c r="B135" s="302">
        <f t="shared" si="21"/>
        <v>0</v>
      </c>
      <c r="C135" s="302">
        <f t="shared" si="21"/>
        <v>0</v>
      </c>
      <c r="D135" s="302">
        <f t="shared" si="21"/>
        <v>0</v>
      </c>
      <c r="E135" s="302">
        <f t="shared" si="21"/>
        <v>0</v>
      </c>
      <c r="F135" s="302">
        <f t="shared" si="21"/>
        <v>0</v>
      </c>
      <c r="G135" s="302">
        <f t="shared" si="21"/>
        <v>0</v>
      </c>
      <c r="H135" s="302">
        <f t="shared" si="21"/>
        <v>0</v>
      </c>
    </row>
    <row r="136" spans="1:8">
      <c r="A136" s="99">
        <f t="shared" si="19"/>
        <v>0</v>
      </c>
      <c r="B136" s="302">
        <f t="shared" si="21"/>
        <v>0</v>
      </c>
      <c r="C136" s="302">
        <f t="shared" si="21"/>
        <v>0</v>
      </c>
      <c r="D136" s="302">
        <f t="shared" si="21"/>
        <v>0</v>
      </c>
      <c r="E136" s="302">
        <f t="shared" si="21"/>
        <v>0</v>
      </c>
      <c r="F136" s="302">
        <f t="shared" si="21"/>
        <v>0</v>
      </c>
      <c r="G136" s="302">
        <f t="shared" si="21"/>
        <v>0</v>
      </c>
      <c r="H136" s="302">
        <f t="shared" si="21"/>
        <v>0</v>
      </c>
    </row>
    <row r="137" spans="1:8">
      <c r="A137" s="99" t="str">
        <f t="shared" si="19"/>
        <v>Groundnut</v>
      </c>
      <c r="B137" s="302">
        <f t="shared" si="21"/>
        <v>0</v>
      </c>
      <c r="C137" s="302">
        <f t="shared" si="21"/>
        <v>0</v>
      </c>
      <c r="D137" s="302">
        <f t="shared" si="21"/>
        <v>0</v>
      </c>
      <c r="E137" s="302">
        <f t="shared" si="21"/>
        <v>0</v>
      </c>
      <c r="F137" s="302">
        <f t="shared" si="21"/>
        <v>0</v>
      </c>
      <c r="G137" s="302">
        <f t="shared" si="21"/>
        <v>0</v>
      </c>
      <c r="H137" s="302">
        <f t="shared" si="21"/>
        <v>0</v>
      </c>
    </row>
    <row r="138" spans="1:8">
      <c r="A138" s="99">
        <f t="shared" si="19"/>
        <v>0</v>
      </c>
      <c r="B138" s="302">
        <f t="shared" si="21"/>
        <v>0</v>
      </c>
      <c r="C138" s="302">
        <f t="shared" si="21"/>
        <v>0</v>
      </c>
      <c r="D138" s="302">
        <f t="shared" si="21"/>
        <v>0</v>
      </c>
      <c r="E138" s="302">
        <f t="shared" si="21"/>
        <v>0</v>
      </c>
      <c r="F138" s="302">
        <f t="shared" si="21"/>
        <v>0</v>
      </c>
      <c r="G138" s="302">
        <f t="shared" si="21"/>
        <v>0</v>
      </c>
      <c r="H138" s="302">
        <f t="shared" si="21"/>
        <v>0</v>
      </c>
    </row>
    <row r="139" spans="1:8">
      <c r="A139" s="99">
        <f t="shared" si="19"/>
        <v>0</v>
      </c>
      <c r="B139" s="302">
        <f t="shared" si="21"/>
        <v>0</v>
      </c>
      <c r="C139" s="302">
        <f t="shared" si="21"/>
        <v>0</v>
      </c>
      <c r="D139" s="302">
        <f t="shared" si="21"/>
        <v>0</v>
      </c>
      <c r="E139" s="302">
        <f t="shared" si="21"/>
        <v>0</v>
      </c>
      <c r="F139" s="302">
        <f t="shared" si="21"/>
        <v>0</v>
      </c>
      <c r="G139" s="302">
        <f t="shared" si="21"/>
        <v>0</v>
      </c>
      <c r="H139" s="302">
        <f t="shared" si="21"/>
        <v>0</v>
      </c>
    </row>
    <row r="140" spans="1:8">
      <c r="A140" s="99">
        <f t="shared" si="19"/>
        <v>0</v>
      </c>
      <c r="B140" s="302">
        <f t="shared" ref="B140:H141" si="22">B88-(B88*$G$6)</f>
        <v>0</v>
      </c>
      <c r="C140" s="302">
        <f t="shared" si="22"/>
        <v>0</v>
      </c>
      <c r="D140" s="302">
        <f t="shared" si="22"/>
        <v>0</v>
      </c>
      <c r="E140" s="302">
        <f t="shared" si="22"/>
        <v>0</v>
      </c>
      <c r="F140" s="302">
        <f t="shared" si="22"/>
        <v>0</v>
      </c>
      <c r="G140" s="302">
        <f t="shared" si="22"/>
        <v>0</v>
      </c>
      <c r="H140" s="302">
        <f t="shared" si="22"/>
        <v>0</v>
      </c>
    </row>
    <row r="141" spans="1:8">
      <c r="A141" s="99">
        <f t="shared" si="19"/>
        <v>0</v>
      </c>
      <c r="B141" s="302">
        <f t="shared" si="22"/>
        <v>0</v>
      </c>
      <c r="C141" s="302">
        <f t="shared" si="22"/>
        <v>0</v>
      </c>
      <c r="D141" s="302">
        <f t="shared" si="22"/>
        <v>0</v>
      </c>
      <c r="E141" s="302">
        <f t="shared" si="22"/>
        <v>0</v>
      </c>
      <c r="F141" s="302">
        <f t="shared" si="22"/>
        <v>0</v>
      </c>
      <c r="G141" s="302">
        <f t="shared" si="22"/>
        <v>0</v>
      </c>
      <c r="H141" s="302">
        <f t="shared" si="22"/>
        <v>0</v>
      </c>
    </row>
    <row r="142" spans="1:8">
      <c r="A142" s="99"/>
      <c r="B142" s="302"/>
      <c r="C142" s="302"/>
      <c r="D142" s="302"/>
      <c r="E142" s="302"/>
      <c r="F142" s="302"/>
      <c r="G142" s="302"/>
      <c r="H142" s="302"/>
    </row>
    <row r="143" spans="1:8">
      <c r="A143" s="101" t="str">
        <f t="shared" ref="A143:A161" si="23">A91</f>
        <v>Fruit  &amp; Vegetables Crop Production Details</v>
      </c>
      <c r="B143" s="302"/>
      <c r="C143" s="302"/>
      <c r="D143" s="302"/>
      <c r="E143" s="302"/>
      <c r="F143" s="302"/>
      <c r="G143" s="302"/>
      <c r="H143" s="302"/>
    </row>
    <row r="144" spans="1:8">
      <c r="A144" s="99" t="str">
        <f t="shared" si="23"/>
        <v>Onion</v>
      </c>
      <c r="B144" s="302">
        <f t="shared" ref="B144:H153" si="24">B92-(B92*$G$7)</f>
        <v>0</v>
      </c>
      <c r="C144" s="302">
        <f t="shared" si="24"/>
        <v>0</v>
      </c>
      <c r="D144" s="302">
        <f t="shared" si="24"/>
        <v>0</v>
      </c>
      <c r="E144" s="302">
        <f t="shared" si="24"/>
        <v>0</v>
      </c>
      <c r="F144" s="302">
        <f t="shared" si="24"/>
        <v>0</v>
      </c>
      <c r="G144" s="302">
        <f t="shared" si="24"/>
        <v>0</v>
      </c>
      <c r="H144" s="302">
        <f t="shared" si="24"/>
        <v>0</v>
      </c>
    </row>
    <row r="145" spans="1:8">
      <c r="A145" s="99" t="str">
        <f t="shared" si="23"/>
        <v>Tomato</v>
      </c>
      <c r="B145" s="302">
        <f t="shared" si="24"/>
        <v>0</v>
      </c>
      <c r="C145" s="302">
        <f t="shared" si="24"/>
        <v>0</v>
      </c>
      <c r="D145" s="302">
        <f t="shared" si="24"/>
        <v>0</v>
      </c>
      <c r="E145" s="302">
        <f t="shared" si="24"/>
        <v>0</v>
      </c>
      <c r="F145" s="302">
        <f t="shared" si="24"/>
        <v>0</v>
      </c>
      <c r="G145" s="302">
        <f t="shared" si="24"/>
        <v>0</v>
      </c>
      <c r="H145" s="302">
        <f t="shared" si="24"/>
        <v>0</v>
      </c>
    </row>
    <row r="146" spans="1:8">
      <c r="A146" s="99" t="str">
        <f t="shared" si="23"/>
        <v>Okra</v>
      </c>
      <c r="B146" s="302">
        <f t="shared" si="24"/>
        <v>0</v>
      </c>
      <c r="C146" s="302">
        <f t="shared" si="24"/>
        <v>0</v>
      </c>
      <c r="D146" s="302">
        <f t="shared" si="24"/>
        <v>0</v>
      </c>
      <c r="E146" s="302">
        <f t="shared" si="24"/>
        <v>0</v>
      </c>
      <c r="F146" s="302">
        <f t="shared" si="24"/>
        <v>0</v>
      </c>
      <c r="G146" s="302">
        <f t="shared" si="24"/>
        <v>0</v>
      </c>
      <c r="H146" s="302">
        <f t="shared" si="24"/>
        <v>0</v>
      </c>
    </row>
    <row r="147" spans="1:8">
      <c r="A147" s="99" t="str">
        <f t="shared" si="23"/>
        <v>Chilli</v>
      </c>
      <c r="B147" s="302">
        <f t="shared" si="24"/>
        <v>0</v>
      </c>
      <c r="C147" s="302">
        <f t="shared" si="24"/>
        <v>0</v>
      </c>
      <c r="D147" s="302">
        <f t="shared" si="24"/>
        <v>0</v>
      </c>
      <c r="E147" s="302">
        <f t="shared" si="24"/>
        <v>0</v>
      </c>
      <c r="F147" s="302">
        <f t="shared" si="24"/>
        <v>0</v>
      </c>
      <c r="G147" s="302">
        <f t="shared" si="24"/>
        <v>0</v>
      </c>
      <c r="H147" s="302">
        <f t="shared" si="24"/>
        <v>0</v>
      </c>
    </row>
    <row r="148" spans="1:8">
      <c r="A148" s="99" t="str">
        <f t="shared" si="23"/>
        <v>Potato</v>
      </c>
      <c r="B148" s="302">
        <f t="shared" si="24"/>
        <v>0</v>
      </c>
      <c r="C148" s="302">
        <f t="shared" si="24"/>
        <v>0</v>
      </c>
      <c r="D148" s="302">
        <f t="shared" si="24"/>
        <v>0</v>
      </c>
      <c r="E148" s="302">
        <f t="shared" si="24"/>
        <v>0</v>
      </c>
      <c r="F148" s="302">
        <f t="shared" si="24"/>
        <v>0</v>
      </c>
      <c r="G148" s="302">
        <f t="shared" si="24"/>
        <v>0</v>
      </c>
      <c r="H148" s="302">
        <f t="shared" si="24"/>
        <v>0</v>
      </c>
    </row>
    <row r="149" spans="1:8">
      <c r="A149" s="99">
        <f t="shared" si="23"/>
        <v>0</v>
      </c>
      <c r="B149" s="302">
        <f t="shared" si="24"/>
        <v>0</v>
      </c>
      <c r="C149" s="302">
        <f t="shared" si="24"/>
        <v>0</v>
      </c>
      <c r="D149" s="302">
        <f t="shared" si="24"/>
        <v>0</v>
      </c>
      <c r="E149" s="302">
        <f t="shared" si="24"/>
        <v>0</v>
      </c>
      <c r="F149" s="302">
        <f t="shared" si="24"/>
        <v>0</v>
      </c>
      <c r="G149" s="302">
        <f t="shared" si="24"/>
        <v>0</v>
      </c>
      <c r="H149" s="302">
        <f t="shared" si="24"/>
        <v>0</v>
      </c>
    </row>
    <row r="150" spans="1:8">
      <c r="A150" s="99">
        <f t="shared" si="23"/>
        <v>0</v>
      </c>
      <c r="B150" s="302">
        <f t="shared" si="24"/>
        <v>0</v>
      </c>
      <c r="C150" s="302">
        <f t="shared" si="24"/>
        <v>0</v>
      </c>
      <c r="D150" s="302">
        <f t="shared" si="24"/>
        <v>0</v>
      </c>
      <c r="E150" s="302">
        <f t="shared" si="24"/>
        <v>0</v>
      </c>
      <c r="F150" s="302">
        <f t="shared" si="24"/>
        <v>0</v>
      </c>
      <c r="G150" s="302">
        <f t="shared" si="24"/>
        <v>0</v>
      </c>
      <c r="H150" s="302">
        <f t="shared" si="24"/>
        <v>0</v>
      </c>
    </row>
    <row r="151" spans="1:8">
      <c r="A151" s="99">
        <f t="shared" si="23"/>
        <v>0</v>
      </c>
      <c r="B151" s="302">
        <f t="shared" si="24"/>
        <v>0</v>
      </c>
      <c r="C151" s="302">
        <f t="shared" si="24"/>
        <v>0</v>
      </c>
      <c r="D151" s="302">
        <f t="shared" si="24"/>
        <v>0</v>
      </c>
      <c r="E151" s="302">
        <f t="shared" si="24"/>
        <v>0</v>
      </c>
      <c r="F151" s="302">
        <f t="shared" si="24"/>
        <v>0</v>
      </c>
      <c r="G151" s="302">
        <f t="shared" si="24"/>
        <v>0</v>
      </c>
      <c r="H151" s="302">
        <f t="shared" si="24"/>
        <v>0</v>
      </c>
    </row>
    <row r="152" spans="1:8">
      <c r="A152" s="99">
        <f t="shared" si="23"/>
        <v>0</v>
      </c>
      <c r="B152" s="302">
        <f t="shared" si="24"/>
        <v>0</v>
      </c>
      <c r="C152" s="302">
        <f t="shared" si="24"/>
        <v>0</v>
      </c>
      <c r="D152" s="302">
        <f t="shared" si="24"/>
        <v>0</v>
      </c>
      <c r="E152" s="302">
        <f t="shared" si="24"/>
        <v>0</v>
      </c>
      <c r="F152" s="302">
        <f t="shared" si="24"/>
        <v>0</v>
      </c>
      <c r="G152" s="302">
        <f t="shared" si="24"/>
        <v>0</v>
      </c>
      <c r="H152" s="302">
        <f t="shared" si="24"/>
        <v>0</v>
      </c>
    </row>
    <row r="153" spans="1:8">
      <c r="A153" s="99" t="str">
        <f t="shared" si="23"/>
        <v>Onion</v>
      </c>
      <c r="B153" s="302">
        <f t="shared" si="24"/>
        <v>0</v>
      </c>
      <c r="C153" s="302">
        <f t="shared" si="24"/>
        <v>0</v>
      </c>
      <c r="D153" s="302">
        <f t="shared" si="24"/>
        <v>0</v>
      </c>
      <c r="E153" s="302">
        <f t="shared" si="24"/>
        <v>0</v>
      </c>
      <c r="F153" s="302">
        <f t="shared" si="24"/>
        <v>0</v>
      </c>
      <c r="G153" s="302">
        <f t="shared" si="24"/>
        <v>0</v>
      </c>
      <c r="H153" s="302">
        <f t="shared" si="24"/>
        <v>0</v>
      </c>
    </row>
    <row r="154" spans="1:8">
      <c r="A154" s="99" t="str">
        <f t="shared" si="23"/>
        <v>Tomato</v>
      </c>
      <c r="B154" s="302">
        <f t="shared" ref="B154:H161" si="25">B102-(B102*$G$7)</f>
        <v>0</v>
      </c>
      <c r="C154" s="302">
        <f t="shared" si="25"/>
        <v>0</v>
      </c>
      <c r="D154" s="302">
        <f t="shared" si="25"/>
        <v>0</v>
      </c>
      <c r="E154" s="302">
        <f t="shared" si="25"/>
        <v>0</v>
      </c>
      <c r="F154" s="302">
        <f t="shared" si="25"/>
        <v>0</v>
      </c>
      <c r="G154" s="302">
        <f t="shared" si="25"/>
        <v>0</v>
      </c>
      <c r="H154" s="302">
        <f t="shared" si="25"/>
        <v>0</v>
      </c>
    </row>
    <row r="155" spans="1:8">
      <c r="A155" s="99" t="str">
        <f t="shared" si="23"/>
        <v>Okra</v>
      </c>
      <c r="B155" s="302">
        <f t="shared" si="25"/>
        <v>0</v>
      </c>
      <c r="C155" s="302">
        <f t="shared" si="25"/>
        <v>0</v>
      </c>
      <c r="D155" s="302">
        <f t="shared" si="25"/>
        <v>0</v>
      </c>
      <c r="E155" s="302">
        <f t="shared" si="25"/>
        <v>0</v>
      </c>
      <c r="F155" s="302">
        <f t="shared" si="25"/>
        <v>0</v>
      </c>
      <c r="G155" s="302">
        <f t="shared" si="25"/>
        <v>0</v>
      </c>
      <c r="H155" s="302">
        <f t="shared" si="25"/>
        <v>0</v>
      </c>
    </row>
    <row r="156" spans="1:8">
      <c r="A156" s="99" t="str">
        <f t="shared" si="23"/>
        <v>Chilli</v>
      </c>
      <c r="B156" s="302">
        <f t="shared" si="25"/>
        <v>0</v>
      </c>
      <c r="C156" s="302">
        <f t="shared" si="25"/>
        <v>0</v>
      </c>
      <c r="D156" s="302">
        <f t="shared" si="25"/>
        <v>0</v>
      </c>
      <c r="E156" s="302">
        <f t="shared" si="25"/>
        <v>0</v>
      </c>
      <c r="F156" s="302">
        <f t="shared" si="25"/>
        <v>0</v>
      </c>
      <c r="G156" s="302">
        <f t="shared" si="25"/>
        <v>0</v>
      </c>
      <c r="H156" s="302">
        <f t="shared" si="25"/>
        <v>0</v>
      </c>
    </row>
    <row r="157" spans="1:8">
      <c r="A157" s="99" t="str">
        <f t="shared" si="23"/>
        <v>Brinjal</v>
      </c>
      <c r="B157" s="302">
        <f t="shared" si="25"/>
        <v>0</v>
      </c>
      <c r="C157" s="302">
        <f t="shared" si="25"/>
        <v>0</v>
      </c>
      <c r="D157" s="302">
        <f t="shared" si="25"/>
        <v>0</v>
      </c>
      <c r="E157" s="302">
        <f t="shared" si="25"/>
        <v>0</v>
      </c>
      <c r="F157" s="302">
        <f t="shared" si="25"/>
        <v>0</v>
      </c>
      <c r="G157" s="302">
        <f t="shared" si="25"/>
        <v>0</v>
      </c>
      <c r="H157" s="302">
        <f t="shared" si="25"/>
        <v>0</v>
      </c>
    </row>
    <row r="158" spans="1:8">
      <c r="A158" s="99">
        <f t="shared" si="23"/>
        <v>0</v>
      </c>
      <c r="B158" s="302">
        <f t="shared" si="25"/>
        <v>0</v>
      </c>
      <c r="C158" s="302">
        <f t="shared" si="25"/>
        <v>0</v>
      </c>
      <c r="D158" s="302">
        <f t="shared" si="25"/>
        <v>0</v>
      </c>
      <c r="E158" s="302">
        <f t="shared" si="25"/>
        <v>0</v>
      </c>
      <c r="F158" s="302">
        <f t="shared" si="25"/>
        <v>0</v>
      </c>
      <c r="G158" s="302">
        <f t="shared" si="25"/>
        <v>0</v>
      </c>
      <c r="H158" s="302">
        <f t="shared" si="25"/>
        <v>0</v>
      </c>
    </row>
    <row r="159" spans="1:8">
      <c r="A159" s="99">
        <f t="shared" si="23"/>
        <v>0</v>
      </c>
      <c r="B159" s="302">
        <f t="shared" si="25"/>
        <v>0</v>
      </c>
      <c r="C159" s="302">
        <f t="shared" si="25"/>
        <v>0</v>
      </c>
      <c r="D159" s="302">
        <f t="shared" si="25"/>
        <v>0</v>
      </c>
      <c r="E159" s="302">
        <f t="shared" si="25"/>
        <v>0</v>
      </c>
      <c r="F159" s="302">
        <f t="shared" si="25"/>
        <v>0</v>
      </c>
      <c r="G159" s="302">
        <f t="shared" si="25"/>
        <v>0</v>
      </c>
      <c r="H159" s="302">
        <f t="shared" si="25"/>
        <v>0</v>
      </c>
    </row>
    <row r="160" spans="1:8">
      <c r="A160" s="99">
        <f t="shared" si="23"/>
        <v>0</v>
      </c>
      <c r="B160" s="302">
        <f t="shared" si="25"/>
        <v>0</v>
      </c>
      <c r="C160" s="302">
        <f t="shared" si="25"/>
        <v>0</v>
      </c>
      <c r="D160" s="302">
        <f t="shared" si="25"/>
        <v>0</v>
      </c>
      <c r="E160" s="302">
        <f t="shared" si="25"/>
        <v>0</v>
      </c>
      <c r="F160" s="302">
        <f t="shared" si="25"/>
        <v>0</v>
      </c>
      <c r="G160" s="302">
        <f t="shared" si="25"/>
        <v>0</v>
      </c>
      <c r="H160" s="302">
        <f t="shared" si="25"/>
        <v>0</v>
      </c>
    </row>
    <row r="161" spans="1:20">
      <c r="A161" s="99">
        <f t="shared" si="23"/>
        <v>0</v>
      </c>
      <c r="B161" s="302">
        <f t="shared" si="25"/>
        <v>0</v>
      </c>
      <c r="C161" s="302">
        <f t="shared" si="25"/>
        <v>0</v>
      </c>
      <c r="D161" s="302">
        <f t="shared" si="25"/>
        <v>0</v>
      </c>
      <c r="E161" s="302">
        <f t="shared" si="25"/>
        <v>0</v>
      </c>
      <c r="F161" s="302">
        <f t="shared" si="25"/>
        <v>0</v>
      </c>
      <c r="G161" s="302">
        <f t="shared" si="25"/>
        <v>0</v>
      </c>
      <c r="H161" s="302">
        <f t="shared" si="25"/>
        <v>0</v>
      </c>
    </row>
    <row r="162" spans="1:20">
      <c r="A162" s="99">
        <f t="shared" ref="A162:A165" si="26">A110</f>
        <v>0</v>
      </c>
      <c r="B162" s="302">
        <f t="shared" ref="B162:H162" si="27">B110-(B110*$G$7)</f>
        <v>0</v>
      </c>
      <c r="C162" s="302">
        <f t="shared" si="27"/>
        <v>0</v>
      </c>
      <c r="D162" s="302">
        <f t="shared" si="27"/>
        <v>0</v>
      </c>
      <c r="E162" s="302">
        <f t="shared" si="27"/>
        <v>0</v>
      </c>
      <c r="F162" s="302">
        <f t="shared" si="27"/>
        <v>0</v>
      </c>
      <c r="G162" s="302">
        <f t="shared" si="27"/>
        <v>0</v>
      </c>
      <c r="H162" s="302">
        <f t="shared" si="27"/>
        <v>0</v>
      </c>
    </row>
    <row r="163" spans="1:20">
      <c r="A163" s="99">
        <f t="shared" si="26"/>
        <v>0</v>
      </c>
      <c r="B163" s="302">
        <f t="shared" ref="B163:H163" si="28">B111-(B111*$G$7)</f>
        <v>0</v>
      </c>
      <c r="C163" s="302">
        <f t="shared" si="28"/>
        <v>0</v>
      </c>
      <c r="D163" s="302">
        <f t="shared" si="28"/>
        <v>0</v>
      </c>
      <c r="E163" s="302">
        <f t="shared" si="28"/>
        <v>0</v>
      </c>
      <c r="F163" s="302">
        <f t="shared" si="28"/>
        <v>0</v>
      </c>
      <c r="G163" s="302">
        <f t="shared" si="28"/>
        <v>0</v>
      </c>
      <c r="H163" s="302">
        <f t="shared" si="28"/>
        <v>0</v>
      </c>
    </row>
    <row r="164" spans="1:20">
      <c r="A164" s="99">
        <f t="shared" si="26"/>
        <v>0</v>
      </c>
      <c r="B164" s="302">
        <f t="shared" ref="B164:H165" si="29">B112-(B112*$G$7)</f>
        <v>0</v>
      </c>
      <c r="C164" s="302">
        <f t="shared" si="29"/>
        <v>0</v>
      </c>
      <c r="D164" s="302">
        <f t="shared" si="29"/>
        <v>0</v>
      </c>
      <c r="E164" s="302">
        <f t="shared" si="29"/>
        <v>0</v>
      </c>
      <c r="F164" s="302">
        <f t="shared" si="29"/>
        <v>0</v>
      </c>
      <c r="G164" s="302">
        <f t="shared" si="29"/>
        <v>0</v>
      </c>
      <c r="H164" s="302">
        <f t="shared" si="29"/>
        <v>0</v>
      </c>
    </row>
    <row r="165" spans="1:20">
      <c r="A165" s="99" t="str">
        <f t="shared" si="26"/>
        <v>Pomegranate</v>
      </c>
      <c r="B165" s="302">
        <f t="shared" si="29"/>
        <v>0</v>
      </c>
      <c r="C165" s="302">
        <f t="shared" ref="C165:H168" si="30">C113-(C113*$G$7)</f>
        <v>0</v>
      </c>
      <c r="D165" s="302">
        <f t="shared" si="30"/>
        <v>0</v>
      </c>
      <c r="E165" s="302">
        <f t="shared" si="30"/>
        <v>0</v>
      </c>
      <c r="F165" s="302">
        <f t="shared" si="30"/>
        <v>0</v>
      </c>
      <c r="G165" s="302">
        <f t="shared" si="30"/>
        <v>0</v>
      </c>
      <c r="H165" s="302">
        <f t="shared" si="30"/>
        <v>0</v>
      </c>
    </row>
    <row r="166" spans="1:20">
      <c r="A166" s="99" t="str">
        <f>A114</f>
        <v>Custard Apple</v>
      </c>
      <c r="B166" s="302">
        <f>B114-(B114*$G$7)</f>
        <v>0</v>
      </c>
      <c r="C166" s="302">
        <f t="shared" si="30"/>
        <v>0</v>
      </c>
      <c r="D166" s="302">
        <f t="shared" si="30"/>
        <v>0</v>
      </c>
      <c r="E166" s="302">
        <f t="shared" si="30"/>
        <v>0</v>
      </c>
      <c r="F166" s="302">
        <f t="shared" si="30"/>
        <v>0</v>
      </c>
      <c r="G166" s="302">
        <f t="shared" si="30"/>
        <v>0</v>
      </c>
      <c r="H166" s="302">
        <f t="shared" si="30"/>
        <v>0</v>
      </c>
    </row>
    <row r="167" spans="1:20">
      <c r="A167" s="99" t="str">
        <f>A115</f>
        <v>Guava</v>
      </c>
      <c r="B167" s="302">
        <f>B115-(B115*$G$7)</f>
        <v>0</v>
      </c>
      <c r="C167" s="302">
        <f t="shared" si="30"/>
        <v>0</v>
      </c>
      <c r="D167" s="302">
        <f t="shared" si="30"/>
        <v>0</v>
      </c>
      <c r="E167" s="302">
        <f t="shared" si="30"/>
        <v>0</v>
      </c>
      <c r="F167" s="302">
        <f t="shared" si="30"/>
        <v>0</v>
      </c>
      <c r="G167" s="302">
        <f t="shared" si="30"/>
        <v>0</v>
      </c>
      <c r="H167" s="302">
        <f t="shared" si="30"/>
        <v>0</v>
      </c>
    </row>
    <row r="168" spans="1:20">
      <c r="A168" s="99" t="str">
        <f>A116</f>
        <v>Citrus</v>
      </c>
      <c r="B168" s="302">
        <f>B116-(B116*$G$7)</f>
        <v>0</v>
      </c>
      <c r="C168" s="302">
        <f t="shared" si="30"/>
        <v>0</v>
      </c>
      <c r="D168" s="302">
        <f t="shared" si="30"/>
        <v>0</v>
      </c>
      <c r="E168" s="302">
        <f t="shared" si="30"/>
        <v>0</v>
      </c>
      <c r="F168" s="302">
        <f t="shared" si="30"/>
        <v>0</v>
      </c>
      <c r="G168" s="302">
        <f t="shared" si="30"/>
        <v>0</v>
      </c>
      <c r="H168" s="302">
        <f t="shared" si="30"/>
        <v>0</v>
      </c>
    </row>
    <row r="169" spans="1:20">
      <c r="A169" s="187"/>
    </row>
    <row r="170" spans="1:20" ht="18.75">
      <c r="A170" s="421" t="s">
        <v>599</v>
      </c>
      <c r="B170" s="421"/>
      <c r="C170" s="421"/>
      <c r="D170" s="421"/>
      <c r="E170" s="421"/>
      <c r="F170" s="421"/>
      <c r="G170" s="421"/>
      <c r="H170" s="421"/>
      <c r="I170" s="421"/>
      <c r="J170" s="421"/>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154</v>
      </c>
      <c r="D175" s="83" t="s">
        <v>2</v>
      </c>
      <c r="E175" s="83" t="s">
        <v>3</v>
      </c>
      <c r="F175" s="83" t="s">
        <v>4</v>
      </c>
      <c r="G175" s="83" t="s">
        <v>5</v>
      </c>
      <c r="H175" s="83" t="s">
        <v>6</v>
      </c>
      <c r="I175" s="83" t="s">
        <v>171</v>
      </c>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370</v>
      </c>
      <c r="C178" s="261">
        <v>4000</v>
      </c>
      <c r="D178" s="200">
        <f>(B120*(1-'5.Closing Stock &amp; W Capital'!$D$16))*C$178*D172</f>
        <v>5374188</v>
      </c>
      <c r="E178" s="200">
        <f>((C120*(1-'5.Closing Stock &amp; W Capital'!$D$16))+(B120*'5.Closing Stock &amp; W Capital'!$D$16))*$C178*E$172</f>
        <v>6504181.7400000012</v>
      </c>
      <c r="F178" s="200">
        <f>((D120*(1-'5.Closing Stock &amp; W Capital'!$D$16))+(C120*'5.Closing Stock &amp; W Capital'!$D$16))*$C178*F$172</f>
        <v>7453079.4870000007</v>
      </c>
      <c r="G178" s="200">
        <f>((E120*(1-'5.Closing Stock &amp; W Capital'!$D$16))+(D120*'5.Closing Stock &amp; W Capital'!$D$16))*$C178*G$172</f>
        <v>8480606.5543500036</v>
      </c>
      <c r="H178" s="200">
        <f>((F120*(1-'5.Closing Stock &amp; W Capital'!$D$16))+(E120*'5.Closing Stock &amp; W Capital'!$D$16))*$C178*H$172</f>
        <v>9592253.6297175046</v>
      </c>
      <c r="I178" s="200">
        <f>((G120*(1-'5.Closing Stock &amp; W Capital'!$D$16))+(F120*'5.Closing Stock &amp; W Capital'!$D$16))*$C178*I$172</f>
        <v>10793863.89623588</v>
      </c>
      <c r="J178" s="200">
        <f>((H120*(1-'5.Closing Stock &amp; W Capital'!$D$16))+(G120*'5.Closing Stock &amp; W Capital'!$D$16))*$C178*J$172</f>
        <v>12091654.5553318</v>
      </c>
      <c r="K178" s="94"/>
      <c r="L178" s="94"/>
    </row>
    <row r="179" spans="1:12">
      <c r="A179" s="95" t="str">
        <f t="shared" si="32"/>
        <v>Red Gram/Tur</v>
      </c>
      <c r="B179" s="95" t="s">
        <v>370</v>
      </c>
      <c r="C179" s="261">
        <v>4500</v>
      </c>
      <c r="D179" s="200">
        <f>(B121*(1-'5.Closing Stock &amp; W Capital'!$D$16))*$C179*D$172</f>
        <v>992731.95000000007</v>
      </c>
      <c r="E179" s="200">
        <f>((C121*(1-'5.Closing Stock &amp; W Capital'!$D$16))+(B121*'5.Closing Stock &amp; W Capital'!$D$16))*$C179*E$172</f>
        <v>1201466.9047500002</v>
      </c>
      <c r="F179" s="200">
        <f>((D121*(1-'5.Closing Stock &amp; W Capital'!$D$16))+(C121*'5.Closing Stock &amp; W Capital'!$D$16))*$C179*F$172</f>
        <v>1376749.4052375006</v>
      </c>
      <c r="G179" s="200">
        <f>((E121*(1-'5.Closing Stock &amp; W Capital'!$D$16))+(D121*'5.Closing Stock &amp; W Capital'!$D$16))*$C179*G$172</f>
        <v>1566556.4885118757</v>
      </c>
      <c r="H179" s="200">
        <f>((F121*(1-'5.Closing Stock &amp; W Capital'!$D$16))+(E121*'5.Closing Stock &amp; W Capital'!$D$16))*$C179*H$172</f>
        <v>1771902.4066005945</v>
      </c>
      <c r="I179" s="200">
        <f>((G121*(1-'5.Closing Stock &amp; W Capital'!$D$16))+(F121*'5.Closing Stock &amp; W Capital'!$D$16))*$C179*I$172</f>
        <v>1993866.5252769059</v>
      </c>
      <c r="J179" s="200">
        <f>((H121*(1-'5.Closing Stock &amp; W Capital'!$D$16))+(G121*'5.Closing Stock &amp; W Capital'!$D$16))*$C179*J$172</f>
        <v>2233597.2998043471</v>
      </c>
      <c r="K179" s="94"/>
      <c r="L179" s="94"/>
    </row>
    <row r="180" spans="1:12">
      <c r="A180" s="95" t="str">
        <f t="shared" si="32"/>
        <v>Paddy/Rice</v>
      </c>
      <c r="B180" s="95" t="s">
        <v>370</v>
      </c>
      <c r="C180" s="261"/>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2"/>
        <v>Green Gram/ Moong</v>
      </c>
      <c r="B181" s="95" t="s">
        <v>370</v>
      </c>
      <c r="C181" s="261">
        <v>4500</v>
      </c>
      <c r="D181" s="200">
        <f>(B123*(1-'5.Closing Stock &amp; W Capital'!$D$16))*$C181*D$172</f>
        <v>1792142.4150000003</v>
      </c>
      <c r="E181" s="200">
        <f>((C123*(1-'5.Closing Stock &amp; W Capital'!$D$16))+(B123*'5.Closing Stock &amp; W Capital'!$D$16))*$C181*E$172</f>
        <v>2168963.9385750005</v>
      </c>
      <c r="F181" s="200">
        <f>((D123*(1-'5.Closing Stock &amp; W Capital'!$D$16))+(C123*'5.Closing Stock &amp; W Capital'!$D$16))*$C181*F$172</f>
        <v>2485394.9789287499</v>
      </c>
      <c r="G181" s="200">
        <f>((E123*(1-'5.Closing Stock &amp; W Capital'!$D$16))+(D123*'5.Closing Stock &amp; W Capital'!$D$16))*$C181*G$172</f>
        <v>2828046.7134714387</v>
      </c>
      <c r="H181" s="200">
        <f>((F123*(1-'5.Closing Stock &amp; W Capital'!$D$16))+(E123*'5.Closing Stock &amp; W Capital'!$D$16))*$C181*H$172</f>
        <v>3198750.1340210726</v>
      </c>
      <c r="I181" s="200">
        <f>((G123*(1-'5.Closing Stock &amp; W Capital'!$D$16))+(F123*'5.Closing Stock &amp; W Capital'!$D$16))*$C181*I$172</f>
        <v>3599453.7798419939</v>
      </c>
      <c r="J181" s="200">
        <f>((H123*(1-'5.Closing Stock &amp; W Capital'!$D$16))+(G123*'5.Closing Stock &amp; W Capital'!$D$16))*$C181*J$172</f>
        <v>4032230.9149099523</v>
      </c>
      <c r="K181" s="94"/>
      <c r="L181" s="94"/>
    </row>
    <row r="182" spans="1:12">
      <c r="A182" s="95" t="str">
        <f t="shared" si="32"/>
        <v>Maize</v>
      </c>
      <c r="B182" s="95" t="s">
        <v>370</v>
      </c>
      <c r="C182" s="261">
        <v>750</v>
      </c>
      <c r="D182" s="200">
        <f>(B124*(1-'5.Closing Stock &amp; W Capital'!$D$16))*$C182*D$172</f>
        <v>1866037.4999999998</v>
      </c>
      <c r="E182" s="200">
        <f>((C124*(1-'5.Closing Stock &amp; W Capital'!$D$16))+(B124*'5.Closing Stock &amp; W Capital'!$D$16))*$C182*E$172</f>
        <v>2258396.4375</v>
      </c>
      <c r="F182" s="200">
        <f>((D124*(1-'5.Closing Stock &amp; W Capital'!$D$16))+(C124*'5.Closing Stock &amp; W Capital'!$D$16))*$C182*F$172</f>
        <v>2587874.8218750004</v>
      </c>
      <c r="G182" s="200">
        <f>((E124*(1-'5.Closing Stock &amp; W Capital'!$D$16))+(D124*'5.Closing Stock &amp; W Capital'!$D$16))*$C182*G$172</f>
        <v>2944655.053593751</v>
      </c>
      <c r="H182" s="200">
        <f>((F124*(1-'5.Closing Stock &amp; W Capital'!$D$16))+(E124*'5.Closing Stock &amp; W Capital'!$D$16))*$C182*H$172</f>
        <v>3330643.6214296888</v>
      </c>
      <c r="I182" s="200">
        <f>((G124*(1-'5.Closing Stock &amp; W Capital'!$D$16))+(F124*'5.Closing Stock &amp; W Capital'!$D$16))*$C182*I$172</f>
        <v>3747869.408415237</v>
      </c>
      <c r="J182" s="200">
        <f>((H124*(1-'5.Closing Stock &amp; W Capital'!$D$16))+(G124*'5.Closing Stock &amp; W Capital'!$D$16))*$C182*J$172</f>
        <v>4198491.1650457643</v>
      </c>
      <c r="K182" s="94"/>
      <c r="L182" s="94"/>
    </row>
    <row r="183" spans="1:12">
      <c r="A183" s="95" t="str">
        <f t="shared" si="32"/>
        <v>Black Gram/Udid</v>
      </c>
      <c r="B183" s="95" t="s">
        <v>370</v>
      </c>
      <c r="C183" s="261">
        <v>3500</v>
      </c>
      <c r="D183" s="200">
        <f>(B125*(1-'5.Closing Stock &amp; W Capital'!$D$16))*$C183*D$172</f>
        <v>1097230.05</v>
      </c>
      <c r="E183" s="200">
        <f>((C125*(1-'5.Closing Stock &amp; W Capital'!$D$16))+(B125*'5.Closing Stock &amp; W Capital'!$D$16))*$C183*E$172</f>
        <v>1327937.1052500003</v>
      </c>
      <c r="F183" s="200">
        <f>((D125*(1-'5.Closing Stock &amp; W Capital'!$D$16))+(C125*'5.Closing Stock &amp; W Capital'!$D$16))*$C183*F$172</f>
        <v>1521670.3952625003</v>
      </c>
      <c r="G183" s="200">
        <f>((E125*(1-'5.Closing Stock &amp; W Capital'!$D$16))+(D125*'5.Closing Stock &amp; W Capital'!$D$16))*$C183*G$172</f>
        <v>1731457.1715131258</v>
      </c>
      <c r="H183" s="200">
        <f>((F125*(1-'5.Closing Stock &amp; W Capital'!$D$16))+(E125*'5.Closing Stock &amp; W Capital'!$D$16))*$C183*H$172</f>
        <v>1958418.4494006573</v>
      </c>
      <c r="I183" s="200">
        <f>((G125*(1-'5.Closing Stock &amp; W Capital'!$D$16))+(F125*'5.Closing Stock &amp; W Capital'!$D$16))*$C183*I$172</f>
        <v>2203747.2121481588</v>
      </c>
      <c r="J183" s="200">
        <f>((H125*(1-'5.Closing Stock &amp; W Capital'!$D$16))+(G125*'5.Closing Stock &amp; W Capital'!$D$16))*$C183*J$172</f>
        <v>2468712.805046909</v>
      </c>
      <c r="K183" s="94"/>
      <c r="L183" s="94"/>
    </row>
    <row r="184" spans="1:12">
      <c r="A184" s="95" t="str">
        <f t="shared" si="32"/>
        <v>Bajra</v>
      </c>
      <c r="B184" s="95" t="s">
        <v>370</v>
      </c>
      <c r="C184" s="261">
        <v>2000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2"/>
        <v>Jawar</v>
      </c>
      <c r="B185" s="95" t="s">
        <v>370</v>
      </c>
      <c r="C185" s="261">
        <v>2000</v>
      </c>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370</v>
      </c>
      <c r="C186" s="261">
        <v>1000</v>
      </c>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370</v>
      </c>
      <c r="C187" s="261">
        <v>750</v>
      </c>
      <c r="D187" s="200">
        <f>(B129*(1-'5.Closing Stock &amp; W Capital'!$D$16))*$C187*D$172</f>
        <v>0</v>
      </c>
      <c r="E187" s="200">
        <f>((C129*(1-'5.Closing Stock &amp; W Capital'!$D$16))+(B129*'5.Closing Stock &amp; W Capital'!$D$16))*$C187*E$172</f>
        <v>0</v>
      </c>
      <c r="F187" s="200">
        <f>((D129*(1-'5.Closing Stock &amp; W Capital'!$D$16))+(C129*'5.Closing Stock &amp; W Capital'!$D$16))*$C187*F$172</f>
        <v>0</v>
      </c>
      <c r="G187" s="200">
        <f>((E129*(1-'5.Closing Stock &amp; W Capital'!$D$16))+(D129*'5.Closing Stock &amp; W Capital'!$D$16))*$C187*G$172</f>
        <v>0</v>
      </c>
      <c r="H187" s="200">
        <f>((F129*(1-'5.Closing Stock &amp; W Capital'!$D$16))+(E129*'5.Closing Stock &amp; W Capital'!$D$16))*$C187*H$172</f>
        <v>0</v>
      </c>
      <c r="I187" s="200">
        <f>((G129*(1-'5.Closing Stock &amp; W Capital'!$D$16))+(F129*'5.Closing Stock &amp; W Capital'!$D$16))*$C187*I$172</f>
        <v>0</v>
      </c>
      <c r="J187" s="200">
        <f>((H129*(1-'5.Closing Stock &amp; W Capital'!$D$16))+(G129*'5.Closing Stock &amp; W Capital'!$D$16))*$C187*J$172</f>
        <v>0</v>
      </c>
      <c r="K187" s="94"/>
      <c r="L187" s="94"/>
    </row>
    <row r="188" spans="1:12">
      <c r="A188" s="95" t="str">
        <f t="shared" si="32"/>
        <v>Bengal Gram/Channa</v>
      </c>
      <c r="B188" s="95" t="s">
        <v>370</v>
      </c>
      <c r="C188" s="261">
        <v>1000</v>
      </c>
      <c r="D188" s="200">
        <f>(B130*(1-'5.Closing Stock &amp; W Capital'!$D$16))*$C188*D$172</f>
        <v>111962.25</v>
      </c>
      <c r="E188" s="200">
        <f>((C130*(1-'5.Closing Stock &amp; W Capital'!$D$16))+(B130*'5.Closing Stock &amp; W Capital'!$D$16))*$C188*E$172</f>
        <v>135503.78625</v>
      </c>
      <c r="F188" s="200">
        <f>((D130*(1-'5.Closing Stock &amp; W Capital'!$D$16))+(C130*'5.Closing Stock &amp; W Capital'!$D$16))*$C188*F$172</f>
        <v>155272.48931250005</v>
      </c>
      <c r="G188" s="200">
        <f>((E130*(1-'5.Closing Stock &amp; W Capital'!$D$16))+(D130*'5.Closing Stock &amp; W Capital'!$D$16))*$C188*G$172</f>
        <v>176679.30321562506</v>
      </c>
      <c r="H188" s="200">
        <f>((F130*(1-'5.Closing Stock &amp; W Capital'!$D$16))+(E130*'5.Closing Stock &amp; W Capital'!$D$16))*$C188*H$172</f>
        <v>199838.61728578134</v>
      </c>
      <c r="I188" s="200">
        <f>((G130*(1-'5.Closing Stock &amp; W Capital'!$D$16))+(F130*'5.Closing Stock &amp; W Capital'!$D$16))*$C188*I$172</f>
        <v>224872.16450491417</v>
      </c>
      <c r="J188" s="200">
        <f>((H130*(1-'5.Closing Stock &amp; W Capital'!$D$16))+(G130*'5.Closing Stock &amp; W Capital'!$D$16))*$C188*J$172</f>
        <v>251909.46990274591</v>
      </c>
      <c r="K188" s="94"/>
      <c r="L188" s="94"/>
    </row>
    <row r="189" spans="1:12">
      <c r="A189" s="95" t="str">
        <f t="shared" si="32"/>
        <v>Jawar</v>
      </c>
      <c r="B189" s="95" t="s">
        <v>370</v>
      </c>
      <c r="C189" s="261">
        <v>1000</v>
      </c>
      <c r="D189" s="200">
        <f>(B131*(1-'5.Closing Stock &amp; W Capital'!$D$16))*$C189*D$172</f>
        <v>236364.75</v>
      </c>
      <c r="E189" s="200">
        <f>((C131*(1-'5.Closing Stock &amp; W Capital'!$D$16))+(B131*'5.Closing Stock &amp; W Capital'!$D$16))*$C189*E$172</f>
        <v>286063.54875000007</v>
      </c>
      <c r="F189" s="200">
        <f>((D131*(1-'5.Closing Stock &amp; W Capital'!$D$16))+(C131*'5.Closing Stock &amp; W Capital'!$D$16))*$C189*F$172</f>
        <v>327797.47743750009</v>
      </c>
      <c r="G189" s="200">
        <f>((E131*(1-'5.Closing Stock &amp; W Capital'!$D$16))+(D131*'5.Closing Stock &amp; W Capital'!$D$16))*$C189*G$172</f>
        <v>372989.64012187516</v>
      </c>
      <c r="H189" s="200">
        <f>((F131*(1-'5.Closing Stock &amp; W Capital'!$D$16))+(E131*'5.Closing Stock &amp; W Capital'!$D$16))*$C189*H$172</f>
        <v>421881.52538109396</v>
      </c>
      <c r="I189" s="200">
        <f>((G131*(1-'5.Closing Stock &amp; W Capital'!$D$16))+(F131*'5.Closing Stock &amp; W Capital'!$D$16))*$C189*I$172</f>
        <v>474730.12506593001</v>
      </c>
      <c r="J189" s="200">
        <f>((H131*(1-'5.Closing Stock &amp; W Capital'!$D$16))+(G131*'5.Closing Stock &amp; W Capital'!$D$16))*$C189*J$172</f>
        <v>531808.88090579689</v>
      </c>
      <c r="K189" s="94"/>
      <c r="L189" s="94"/>
    </row>
    <row r="190" spans="1:12">
      <c r="A190" s="95" t="str">
        <f t="shared" si="32"/>
        <v>Maize</v>
      </c>
      <c r="B190" s="95" t="s">
        <v>370</v>
      </c>
      <c r="C190" s="261">
        <v>750</v>
      </c>
      <c r="D190" s="200">
        <f>(B132*(1-'5.Closing Stock &amp; W Capital'!$D$16))*$C190*D$172</f>
        <v>298566</v>
      </c>
      <c r="E190" s="200">
        <f>((C132*(1-'5.Closing Stock &amp; W Capital'!$D$16))+(B132*'5.Closing Stock &amp; W Capital'!$D$16))*$C190*E$172</f>
        <v>361343.43000000005</v>
      </c>
      <c r="F190" s="200">
        <f>((D132*(1-'5.Closing Stock &amp; W Capital'!$D$16))+(C132*'5.Closing Stock &amp; W Capital'!$D$16))*$C190*F$172</f>
        <v>414059.9715000001</v>
      </c>
      <c r="G190" s="200">
        <f>((E132*(1-'5.Closing Stock &amp; W Capital'!$D$16))+(D132*'5.Closing Stock &amp; W Capital'!$D$16))*$C190*G$172</f>
        <v>471144.80857500015</v>
      </c>
      <c r="H190" s="200">
        <f>((F132*(1-'5.Closing Stock &amp; W Capital'!$D$16))+(E132*'5.Closing Stock &amp; W Capital'!$D$16))*$C190*H$172</f>
        <v>532902.97942875023</v>
      </c>
      <c r="I190" s="200">
        <f>((G132*(1-'5.Closing Stock &amp; W Capital'!$D$16))+(F132*'5.Closing Stock &amp; W Capital'!$D$16))*$C190*I$172</f>
        <v>599659.10534643789</v>
      </c>
      <c r="J190" s="200">
        <f>((H132*(1-'5.Closing Stock &amp; W Capital'!$D$16))+(G132*'5.Closing Stock &amp; W Capital'!$D$16))*$C190*J$172</f>
        <v>671758.58640732232</v>
      </c>
      <c r="K190" s="94"/>
      <c r="L190" s="94"/>
    </row>
    <row r="191" spans="1:12">
      <c r="A191" s="95" t="str">
        <f t="shared" si="32"/>
        <v>Safflower</v>
      </c>
      <c r="B191" s="95" t="s">
        <v>370</v>
      </c>
      <c r="C191" s="261">
        <v>1000</v>
      </c>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370</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370</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370</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370</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370</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370</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370</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370</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298</v>
      </c>
      <c r="B200" s="95" t="s">
        <v>370</v>
      </c>
      <c r="C200" s="238">
        <v>50</v>
      </c>
      <c r="D200" s="200">
        <f t="shared" ref="D200:J200" si="33">B65*$C$200*D172</f>
        <v>74747.250000000015</v>
      </c>
      <c r="E200" s="200">
        <f t="shared" si="33"/>
        <v>86333.07375000001</v>
      </c>
      <c r="F200" s="200">
        <f t="shared" si="33"/>
        <v>98890.611750000025</v>
      </c>
      <c r="G200" s="200">
        <f t="shared" si="33"/>
        <v>112488.07086562504</v>
      </c>
      <c r="H200" s="200">
        <f t="shared" si="33"/>
        <v>127198.04936343753</v>
      </c>
      <c r="I200" s="200">
        <f t="shared" si="33"/>
        <v>143097.80553386727</v>
      </c>
      <c r="J200" s="200">
        <f t="shared" si="33"/>
        <v>160269.54219793135</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370</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370</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370</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370</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370</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370</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370</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370</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370</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370</v>
      </c>
      <c r="C212" s="261">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370</v>
      </c>
      <c r="C213" s="261">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370</v>
      </c>
      <c r="C214" s="261">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370</v>
      </c>
      <c r="C215" s="261">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370</v>
      </c>
      <c r="C216" s="261">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370</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370</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370</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370</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370</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370</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370</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370</v>
      </c>
      <c r="C224" s="261">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370</v>
      </c>
      <c r="C225" s="261"/>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370</v>
      </c>
      <c r="C226" s="261"/>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370</v>
      </c>
      <c r="C227" s="261"/>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7">SUM(D178:D228)</f>
        <v>11843970.165000001</v>
      </c>
      <c r="E229" s="202">
        <f t="shared" si="37"/>
        <v>14330189.964825004</v>
      </c>
      <c r="F229" s="202">
        <f t="shared" si="37"/>
        <v>16420789.638303751</v>
      </c>
      <c r="G229" s="202">
        <f t="shared" si="37"/>
        <v>18684623.804218318</v>
      </c>
      <c r="H229" s="202">
        <f t="shared" si="37"/>
        <v>21133789.41262858</v>
      </c>
      <c r="I229" s="202">
        <f t="shared" si="37"/>
        <v>23781160.022369325</v>
      </c>
      <c r="J229" s="202">
        <f t="shared" si="37"/>
        <v>26640433.219552569</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316</v>
      </c>
      <c r="B232" s="97"/>
      <c r="C232" s="95"/>
      <c r="D232" s="95"/>
      <c r="E232" s="95"/>
      <c r="F232" s="95"/>
      <c r="G232" s="95"/>
      <c r="H232" s="95"/>
      <c r="I232" s="95"/>
      <c r="J232" s="95"/>
      <c r="K232" s="94"/>
      <c r="L232" s="94"/>
    </row>
    <row r="233" spans="1:12">
      <c r="A233" s="95" t="str">
        <f t="shared" ref="A233:A254" si="38">A178</f>
        <v>Soybean</v>
      </c>
      <c r="B233" s="95" t="s">
        <v>370</v>
      </c>
      <c r="C233" s="257">
        <v>2100</v>
      </c>
      <c r="D233" s="96">
        <f>B68*$C$233*D$172</f>
        <v>3061800</v>
      </c>
      <c r="E233" s="96">
        <f>C68*$C$233*E$172</f>
        <v>3536379.0000000005</v>
      </c>
      <c r="F233" s="96">
        <f>D68*$C$233*F172</f>
        <v>4050761.4000000013</v>
      </c>
      <c r="G233" s="96">
        <f>E68*$C$233*G172</f>
        <v>4607741.0925000012</v>
      </c>
      <c r="H233" s="96">
        <f>F68*$C$233*H172</f>
        <v>5210291.8507500021</v>
      </c>
      <c r="I233" s="96">
        <f>G68*$C$233*I172</f>
        <v>5861578.3320937529</v>
      </c>
      <c r="J233" s="96">
        <f>H68*$C$233*J172</f>
        <v>6564967.7319450034</v>
      </c>
      <c r="K233" s="94"/>
      <c r="L233" s="94"/>
    </row>
    <row r="234" spans="1:12">
      <c r="A234" s="95" t="str">
        <f t="shared" si="38"/>
        <v>Red Gram/Tur</v>
      </c>
      <c r="B234" s="95" t="s">
        <v>370</v>
      </c>
      <c r="C234" s="257">
        <v>4200</v>
      </c>
      <c r="D234" s="96">
        <f>B69*$C$234*D$172</f>
        <v>1005480</v>
      </c>
      <c r="E234" s="96">
        <f t="shared" ref="E234:J234" si="39">C69*$C$234*E172</f>
        <v>1161329.4000000004</v>
      </c>
      <c r="F234" s="96">
        <f t="shared" si="39"/>
        <v>1330250.0400000005</v>
      </c>
      <c r="G234" s="96">
        <f t="shared" si="39"/>
        <v>1513159.4205000007</v>
      </c>
      <c r="H234" s="96">
        <f t="shared" si="39"/>
        <v>1711034.1139500006</v>
      </c>
      <c r="I234" s="96">
        <f t="shared" si="39"/>
        <v>1924913.3781937512</v>
      </c>
      <c r="J234" s="96">
        <f t="shared" si="39"/>
        <v>2155902.9835770018</v>
      </c>
      <c r="K234" s="94"/>
      <c r="L234" s="94"/>
    </row>
    <row r="235" spans="1:12">
      <c r="A235" s="95" t="str">
        <f t="shared" si="38"/>
        <v>Paddy/Rice</v>
      </c>
      <c r="B235" s="95" t="s">
        <v>370</v>
      </c>
      <c r="C235" s="257"/>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370</v>
      </c>
      <c r="C236" s="257">
        <v>3900</v>
      </c>
      <c r="D236" s="96">
        <f t="shared" ref="D236:J236" si="41">B71*$C$236*D$172</f>
        <v>1685502.0000000002</v>
      </c>
      <c r="E236" s="96">
        <f t="shared" si="41"/>
        <v>1946754.8100000005</v>
      </c>
      <c r="F236" s="96">
        <f t="shared" si="41"/>
        <v>2229919.1460000006</v>
      </c>
      <c r="G236" s="96">
        <f t="shared" si="41"/>
        <v>2536533.0285750008</v>
      </c>
      <c r="H236" s="96">
        <f t="shared" si="41"/>
        <v>2868233.5015425016</v>
      </c>
      <c r="I236" s="96">
        <f t="shared" si="41"/>
        <v>3226762.6892353152</v>
      </c>
      <c r="J236" s="96">
        <f t="shared" si="41"/>
        <v>3613974.2119435528</v>
      </c>
      <c r="K236" s="94"/>
      <c r="L236" s="94"/>
    </row>
    <row r="237" spans="1:12">
      <c r="A237" s="95" t="str">
        <f t="shared" si="38"/>
        <v>Maize</v>
      </c>
      <c r="B237" s="95" t="s">
        <v>370</v>
      </c>
      <c r="C237" s="257">
        <v>300</v>
      </c>
      <c r="D237" s="96">
        <f t="shared" ref="D237:J237" si="42">B72*$C$237*D$172</f>
        <v>810000</v>
      </c>
      <c r="E237" s="96">
        <f t="shared" si="42"/>
        <v>935550.00000000012</v>
      </c>
      <c r="F237" s="96">
        <f t="shared" si="42"/>
        <v>1071630.0000000002</v>
      </c>
      <c r="G237" s="96">
        <f t="shared" si="42"/>
        <v>1218979.1250000005</v>
      </c>
      <c r="H237" s="96">
        <f t="shared" si="42"/>
        <v>1378384.0875000006</v>
      </c>
      <c r="I237" s="96">
        <f t="shared" si="42"/>
        <v>1550682.0984375011</v>
      </c>
      <c r="J237" s="96">
        <f t="shared" si="42"/>
        <v>1736763.9502500012</v>
      </c>
      <c r="K237" s="94"/>
      <c r="L237" s="94"/>
    </row>
    <row r="238" spans="1:12">
      <c r="A238" s="95" t="str">
        <f t="shared" si="38"/>
        <v>Black Gram/Udid</v>
      </c>
      <c r="B238" s="95" t="s">
        <v>370</v>
      </c>
      <c r="C238" s="257">
        <v>5000</v>
      </c>
      <c r="D238" s="96">
        <f t="shared" ref="D238:J238" si="43">B73*$C$238*D$172</f>
        <v>1701000.0000000002</v>
      </c>
      <c r="E238" s="96">
        <f t="shared" si="43"/>
        <v>1964655.0000000002</v>
      </c>
      <c r="F238" s="96">
        <f t="shared" si="43"/>
        <v>2250423.0000000005</v>
      </c>
      <c r="G238" s="96">
        <f t="shared" si="43"/>
        <v>2559856.1625000015</v>
      </c>
      <c r="H238" s="96">
        <f t="shared" si="43"/>
        <v>2894606.5837500016</v>
      </c>
      <c r="I238" s="96">
        <f t="shared" si="43"/>
        <v>3256432.4067187519</v>
      </c>
      <c r="J238" s="96">
        <f t="shared" si="43"/>
        <v>3647204.2955250023</v>
      </c>
      <c r="K238" s="94"/>
      <c r="L238" s="94"/>
    </row>
    <row r="239" spans="1:12">
      <c r="A239" s="95" t="str">
        <f t="shared" si="38"/>
        <v>Bajra</v>
      </c>
      <c r="B239" s="95" t="s">
        <v>370</v>
      </c>
      <c r="C239" s="257">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370</v>
      </c>
      <c r="C240" s="257">
        <v>500</v>
      </c>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370</v>
      </c>
      <c r="C241" s="257">
        <v>750</v>
      </c>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370</v>
      </c>
      <c r="C242" s="257">
        <v>60</v>
      </c>
      <c r="D242" s="96">
        <f t="shared" ref="D242:J242" si="47">B77*$C$242*D$172</f>
        <v>0</v>
      </c>
      <c r="E242" s="96">
        <f t="shared" si="47"/>
        <v>0</v>
      </c>
      <c r="F242" s="96">
        <f t="shared" si="47"/>
        <v>0</v>
      </c>
      <c r="G242" s="96">
        <f t="shared" si="47"/>
        <v>0</v>
      </c>
      <c r="H242" s="96">
        <f t="shared" si="47"/>
        <v>0</v>
      </c>
      <c r="I242" s="96">
        <f t="shared" si="47"/>
        <v>0</v>
      </c>
      <c r="J242" s="96">
        <f t="shared" si="47"/>
        <v>0</v>
      </c>
      <c r="K242" s="94"/>
      <c r="L242" s="94"/>
    </row>
    <row r="243" spans="1:12">
      <c r="A243" s="95" t="str">
        <f t="shared" si="38"/>
        <v>Bengal Gram/Channa</v>
      </c>
      <c r="B243" s="95" t="s">
        <v>370</v>
      </c>
      <c r="C243" s="257">
        <v>4800</v>
      </c>
      <c r="D243" s="96">
        <f t="shared" ref="D243:J243" si="48">B78*$C$243*D$172</f>
        <v>583200</v>
      </c>
      <c r="E243" s="96">
        <f t="shared" si="48"/>
        <v>673596</v>
      </c>
      <c r="F243" s="96">
        <f t="shared" si="48"/>
        <v>771573.60000000033</v>
      </c>
      <c r="G243" s="96">
        <f t="shared" si="48"/>
        <v>877664.97000000032</v>
      </c>
      <c r="H243" s="96">
        <f t="shared" si="48"/>
        <v>992436.54300000053</v>
      </c>
      <c r="I243" s="96">
        <f t="shared" si="48"/>
        <v>1116491.1108750007</v>
      </c>
      <c r="J243" s="96">
        <f t="shared" si="48"/>
        <v>1250470.0441800009</v>
      </c>
      <c r="K243" s="94"/>
      <c r="L243" s="94"/>
    </row>
    <row r="244" spans="1:12">
      <c r="A244" s="95" t="str">
        <f t="shared" si="38"/>
        <v>Jawar</v>
      </c>
      <c r="B244" s="95" t="s">
        <v>370</v>
      </c>
      <c r="C244" s="257">
        <v>500</v>
      </c>
      <c r="D244" s="96">
        <f t="shared" ref="D244:J244" si="49">B79*$C$244*D$172</f>
        <v>128250</v>
      </c>
      <c r="E244" s="96">
        <f t="shared" si="49"/>
        <v>148128.75000000003</v>
      </c>
      <c r="F244" s="96">
        <f t="shared" si="49"/>
        <v>169674.75000000003</v>
      </c>
      <c r="G244" s="96">
        <f t="shared" si="49"/>
        <v>193005.0281250001</v>
      </c>
      <c r="H244" s="96">
        <f t="shared" si="49"/>
        <v>218244.14718750012</v>
      </c>
      <c r="I244" s="96">
        <f t="shared" si="49"/>
        <v>245524.66558593768</v>
      </c>
      <c r="J244" s="96">
        <f t="shared" si="49"/>
        <v>274987.62545625021</v>
      </c>
      <c r="K244" s="94"/>
      <c r="L244" s="94"/>
    </row>
    <row r="245" spans="1:12">
      <c r="A245" s="95" t="str">
        <f t="shared" si="38"/>
        <v>Maize</v>
      </c>
      <c r="B245" s="95" t="s">
        <v>370</v>
      </c>
      <c r="C245" s="257">
        <v>0</v>
      </c>
      <c r="D245" s="96">
        <f t="shared" ref="D245:J245" si="50">B80*$C$245*D$172</f>
        <v>0</v>
      </c>
      <c r="E245" s="96">
        <f t="shared" si="50"/>
        <v>0</v>
      </c>
      <c r="F245" s="96">
        <f t="shared" si="50"/>
        <v>0</v>
      </c>
      <c r="G245" s="96">
        <f t="shared" si="50"/>
        <v>0</v>
      </c>
      <c r="H245" s="96">
        <f t="shared" si="50"/>
        <v>0</v>
      </c>
      <c r="I245" s="96">
        <f t="shared" si="50"/>
        <v>0</v>
      </c>
      <c r="J245" s="96">
        <f t="shared" si="50"/>
        <v>0</v>
      </c>
      <c r="K245" s="94"/>
      <c r="L245" s="94"/>
    </row>
    <row r="246" spans="1:12">
      <c r="A246" s="95" t="str">
        <f t="shared" si="38"/>
        <v>Safflower</v>
      </c>
      <c r="B246" s="95" t="s">
        <v>370</v>
      </c>
      <c r="C246" s="257"/>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370</v>
      </c>
      <c r="C247" s="257"/>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370</v>
      </c>
      <c r="C248" s="257"/>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370</v>
      </c>
      <c r="C249" s="257"/>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370</v>
      </c>
      <c r="C250" s="257"/>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370</v>
      </c>
      <c r="C251" s="257"/>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370</v>
      </c>
      <c r="C252" s="257"/>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370</v>
      </c>
      <c r="C253" s="257"/>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370</v>
      </c>
      <c r="C254" s="257"/>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7"/>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7"/>
      <c r="D256" s="96"/>
      <c r="E256" s="96"/>
      <c r="F256" s="96"/>
      <c r="G256" s="96"/>
      <c r="H256" s="96"/>
      <c r="I256" s="96"/>
      <c r="J256" s="96"/>
      <c r="K256" s="94"/>
      <c r="L256" s="94"/>
    </row>
    <row r="257" spans="1:12">
      <c r="A257" s="95" t="str">
        <f t="shared" si="55"/>
        <v>Onion</v>
      </c>
      <c r="B257" s="95" t="s">
        <v>370</v>
      </c>
      <c r="C257" s="257">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370</v>
      </c>
      <c r="C258" s="257">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370</v>
      </c>
      <c r="C259" s="257">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370</v>
      </c>
      <c r="C260" s="257">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370</v>
      </c>
      <c r="C261" s="257">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370</v>
      </c>
      <c r="C262" s="257"/>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370</v>
      </c>
      <c r="C263" s="257"/>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370</v>
      </c>
      <c r="C264" s="257"/>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370</v>
      </c>
      <c r="C265" s="257"/>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370</v>
      </c>
      <c r="C266" s="257">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370</v>
      </c>
      <c r="C267" s="257">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370</v>
      </c>
      <c r="C268" s="257">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370</v>
      </c>
      <c r="C269" s="257">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370</v>
      </c>
      <c r="C270" s="257">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370</v>
      </c>
      <c r="C271" s="257"/>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370</v>
      </c>
      <c r="C272" s="257"/>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370</v>
      </c>
      <c r="C273" s="257"/>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370</v>
      </c>
      <c r="C274" s="257"/>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370</v>
      </c>
      <c r="C275" s="257">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370</v>
      </c>
      <c r="C276" s="257"/>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370</v>
      </c>
      <c r="C277" s="257"/>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370</v>
      </c>
      <c r="C278" s="257"/>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370</v>
      </c>
      <c r="C279" s="257"/>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7"/>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7"/>
      <c r="D281" s="96"/>
      <c r="E281" s="96"/>
      <c r="F281" s="96"/>
      <c r="G281" s="96"/>
      <c r="H281" s="96"/>
      <c r="I281" s="96"/>
      <c r="J281" s="96"/>
      <c r="K281" s="94"/>
      <c r="L281" s="94"/>
    </row>
    <row r="282" spans="1:12">
      <c r="A282" s="95" t="s">
        <v>317</v>
      </c>
      <c r="B282" s="233">
        <v>5</v>
      </c>
      <c r="C282" s="233">
        <v>1500</v>
      </c>
      <c r="D282" s="96">
        <f t="shared" ref="D282:J282" si="64">B10*$B$282*$C$282*D172</f>
        <v>389308.59375</v>
      </c>
      <c r="E282" s="96">
        <f t="shared" si="64"/>
        <v>449651.42578125</v>
      </c>
      <c r="F282" s="96">
        <f t="shared" si="64"/>
        <v>515055.26953125012</v>
      </c>
      <c r="G282" s="96">
        <f t="shared" si="64"/>
        <v>585875.36909179704</v>
      </c>
      <c r="H282" s="96">
        <f t="shared" si="64"/>
        <v>662489.84043457056</v>
      </c>
      <c r="I282" s="96">
        <f t="shared" si="64"/>
        <v>745301.07048889191</v>
      </c>
      <c r="J282" s="96">
        <f t="shared" si="64"/>
        <v>834737.19894755899</v>
      </c>
      <c r="K282" s="94"/>
      <c r="L282" s="94"/>
    </row>
    <row r="283" spans="1:12">
      <c r="A283" s="95" t="s">
        <v>145</v>
      </c>
      <c r="B283" s="95">
        <v>500</v>
      </c>
      <c r="C283" s="233">
        <v>5</v>
      </c>
      <c r="D283" s="96">
        <f t="shared" ref="D283:J283" si="65">$B$283*$C$283*D172*B10</f>
        <v>129769.53125000001</v>
      </c>
      <c r="E283" s="96">
        <f t="shared" si="65"/>
        <v>149883.80859375</v>
      </c>
      <c r="F283" s="96">
        <f t="shared" si="65"/>
        <v>171685.08984375003</v>
      </c>
      <c r="G283" s="96">
        <f t="shared" si="65"/>
        <v>195291.78969726569</v>
      </c>
      <c r="H283" s="96">
        <f t="shared" si="65"/>
        <v>220829.94681152349</v>
      </c>
      <c r="I283" s="96">
        <f t="shared" si="65"/>
        <v>248433.69016296396</v>
      </c>
      <c r="J283" s="96">
        <f t="shared" si="65"/>
        <v>278245.73298251972</v>
      </c>
      <c r="K283" s="94"/>
      <c r="L283" s="94"/>
    </row>
    <row r="284" spans="1:12">
      <c r="A284" s="95" t="s">
        <v>470</v>
      </c>
      <c r="B284" s="95"/>
      <c r="C284" s="233">
        <v>30</v>
      </c>
      <c r="D284" s="96">
        <f t="shared" ref="D284:J284" si="66">SUM(B120:B141)*$C$284*D172</f>
        <v>174011.598</v>
      </c>
      <c r="E284" s="96">
        <f t="shared" si="66"/>
        <v>200983.39569000009</v>
      </c>
      <c r="F284" s="96">
        <f t="shared" si="66"/>
        <v>230217.34415400005</v>
      </c>
      <c r="G284" s="96">
        <f t="shared" si="66"/>
        <v>261872.22897517515</v>
      </c>
      <c r="H284" s="96">
        <f t="shared" si="66"/>
        <v>296117.05891808262</v>
      </c>
      <c r="I284" s="96">
        <f t="shared" si="66"/>
        <v>333131.69128284306</v>
      </c>
      <c r="J284" s="96">
        <f t="shared" si="66"/>
        <v>373107.49423678417</v>
      </c>
      <c r="K284" s="94"/>
      <c r="L284" s="94"/>
    </row>
    <row r="285" spans="1:12">
      <c r="A285" s="95" t="s">
        <v>469</v>
      </c>
      <c r="B285" s="95"/>
      <c r="C285" s="233">
        <v>150</v>
      </c>
      <c r="D285" s="96">
        <f t="shared" ref="D285:J285" si="67">SUM(B120:B141)*$C$285*D172</f>
        <v>870057.99</v>
      </c>
      <c r="E285" s="96">
        <f t="shared" si="67"/>
        <v>1004916.9784500005</v>
      </c>
      <c r="F285" s="96">
        <f t="shared" si="67"/>
        <v>1151086.7207700005</v>
      </c>
      <c r="G285" s="96">
        <f t="shared" si="67"/>
        <v>1309361.1448758759</v>
      </c>
      <c r="H285" s="96">
        <f t="shared" si="67"/>
        <v>1480585.2945904133</v>
      </c>
      <c r="I285" s="96">
        <f t="shared" si="67"/>
        <v>1665658.4564142153</v>
      </c>
      <c r="J285" s="96">
        <f t="shared" si="67"/>
        <v>1865537.471183921</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349</v>
      </c>
      <c r="B289" s="95"/>
      <c r="C289" s="95"/>
      <c r="D289" s="200"/>
      <c r="E289" s="200">
        <f>'5.Closing Stock &amp; W Capital'!F7</f>
        <v>483416.08614999999</v>
      </c>
      <c r="F289" s="200">
        <f>'5.Closing Stock &amp; W Capital'!G7</f>
        <v>558345.57950325008</v>
      </c>
      <c r="G289" s="200">
        <f>'5.Closing Stock &amp; W Capital'!H7</f>
        <v>639559.48197645019</v>
      </c>
      <c r="H289" s="200">
        <f>'5.Closing Stock &amp; W Capital'!I7</f>
        <v>727498.91074821213</v>
      </c>
      <c r="I289" s="200">
        <f>'5.Closing Stock &amp; W Capital'!J7</f>
        <v>822633.38369220914</v>
      </c>
      <c r="J289" s="200">
        <f>'5.Closing Stock &amp; W Capital'!K7</f>
        <v>925462.55665373546</v>
      </c>
      <c r="K289" s="94"/>
      <c r="L289" s="94"/>
    </row>
    <row r="290" spans="1:20">
      <c r="A290" s="99" t="s">
        <v>350</v>
      </c>
      <c r="B290" s="95"/>
      <c r="C290" s="200"/>
      <c r="D290" s="200">
        <f>'5.Closing Stock &amp; W Capital'!E16</f>
        <v>483416.08614999999</v>
      </c>
      <c r="E290" s="200">
        <f>'5.Closing Stock &amp; W Capital'!F16</f>
        <v>558345.57950325008</v>
      </c>
      <c r="F290" s="200">
        <f>'5.Closing Stock &amp; W Capital'!G16</f>
        <v>639559.48197645019</v>
      </c>
      <c r="G290" s="200">
        <f>'5.Closing Stock &amp; W Capital'!H16</f>
        <v>727498.91074821213</v>
      </c>
      <c r="H290" s="200">
        <f>'5.Closing Stock &amp; W Capital'!I16</f>
        <v>822633.38369220914</v>
      </c>
      <c r="I290" s="200">
        <f>'5.Closing Stock &amp; W Capital'!J16</f>
        <v>925462.55665373546</v>
      </c>
      <c r="J290" s="200">
        <f>'5.Closing Stock &amp; W Capital'!K16</f>
        <v>1036518.0634521841</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327</v>
      </c>
      <c r="B292" s="97"/>
      <c r="C292" s="97"/>
      <c r="D292" s="115">
        <f t="shared" ref="D292:J292" si="68">SUM(D233:D289)-D290</f>
        <v>10054963.62685</v>
      </c>
      <c r="E292" s="115">
        <f t="shared" si="68"/>
        <v>12096899.075161751</v>
      </c>
      <c r="F292" s="115">
        <f t="shared" si="68"/>
        <v>13861062.457825802</v>
      </c>
      <c r="G292" s="115">
        <f t="shared" si="68"/>
        <v>15771399.931068357</v>
      </c>
      <c r="H292" s="115">
        <f t="shared" si="68"/>
        <v>17838118.495490599</v>
      </c>
      <c r="I292" s="115">
        <f t="shared" si="68"/>
        <v>20072080.416527398</v>
      </c>
      <c r="J292" s="115">
        <f t="shared" si="68"/>
        <v>22484843.233429153</v>
      </c>
      <c r="K292" s="94"/>
      <c r="L292" s="94"/>
      <c r="M292" s="94"/>
      <c r="N292" s="94"/>
      <c r="O292" s="94"/>
      <c r="P292" s="94"/>
      <c r="Q292" s="94"/>
      <c r="R292" s="94"/>
      <c r="S292" s="94"/>
      <c r="T292" s="94"/>
    </row>
    <row r="293" spans="1:20">
      <c r="A293" s="97" t="s">
        <v>314</v>
      </c>
      <c r="B293" s="95"/>
      <c r="C293" s="95"/>
      <c r="D293" s="110"/>
      <c r="E293" s="110"/>
      <c r="F293" s="110"/>
      <c r="G293" s="110"/>
      <c r="H293" s="110"/>
      <c r="I293" s="95"/>
      <c r="J293" s="95"/>
      <c r="K293" s="94"/>
      <c r="L293" s="94"/>
      <c r="M293" s="94"/>
      <c r="N293" s="94"/>
      <c r="O293" s="94"/>
      <c r="P293" s="94"/>
      <c r="Q293" s="94"/>
      <c r="R293" s="94"/>
      <c r="S293" s="94"/>
      <c r="T293" s="94"/>
    </row>
    <row r="294" spans="1:20">
      <c r="A294" s="95" t="s">
        <v>190</v>
      </c>
      <c r="B294" s="233">
        <v>4</v>
      </c>
      <c r="C294" s="257">
        <v>6000</v>
      </c>
      <c r="D294" s="96">
        <f t="shared" ref="D294:J294" si="69">$B$294*$C$294*12*D172</f>
        <v>288000</v>
      </c>
      <c r="E294" s="96">
        <f t="shared" si="69"/>
        <v>302400</v>
      </c>
      <c r="F294" s="96">
        <f t="shared" si="69"/>
        <v>317520</v>
      </c>
      <c r="G294" s="96">
        <f t="shared" si="69"/>
        <v>333396.00000000006</v>
      </c>
      <c r="H294" s="96">
        <f t="shared" si="69"/>
        <v>350065.80000000005</v>
      </c>
      <c r="I294" s="96">
        <f t="shared" si="69"/>
        <v>367569.09000000008</v>
      </c>
      <c r="J294" s="96">
        <f t="shared" si="69"/>
        <v>385947.54450000013</v>
      </c>
      <c r="K294" s="94"/>
      <c r="L294" s="94"/>
      <c r="M294" s="94"/>
      <c r="N294" s="94"/>
      <c r="O294" s="94"/>
      <c r="P294" s="94"/>
      <c r="Q294" s="94"/>
      <c r="R294" s="94"/>
      <c r="S294" s="94"/>
      <c r="T294" s="94"/>
    </row>
    <row r="295" spans="1:20">
      <c r="A295" s="95" t="s">
        <v>729</v>
      </c>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331</v>
      </c>
      <c r="B301" s="238"/>
      <c r="C301" s="238"/>
      <c r="D301" s="115">
        <f t="shared" ref="D301:J301" si="70">SUM(D294:D300)</f>
        <v>288000</v>
      </c>
      <c r="E301" s="115">
        <f t="shared" si="70"/>
        <v>302400</v>
      </c>
      <c r="F301" s="115">
        <f t="shared" si="70"/>
        <v>317520</v>
      </c>
      <c r="G301" s="115">
        <f t="shared" si="70"/>
        <v>333396.00000000006</v>
      </c>
      <c r="H301" s="115">
        <f t="shared" si="70"/>
        <v>350065.80000000005</v>
      </c>
      <c r="I301" s="115">
        <f t="shared" si="70"/>
        <v>367569.09000000008</v>
      </c>
      <c r="J301" s="115">
        <f t="shared" si="70"/>
        <v>385947.54450000013</v>
      </c>
      <c r="K301" s="94"/>
      <c r="L301" s="94"/>
      <c r="M301" s="94"/>
      <c r="N301" s="204"/>
      <c r="O301" s="94"/>
      <c r="P301" s="94"/>
      <c r="Q301" s="94"/>
      <c r="R301" s="94"/>
      <c r="S301" s="94"/>
      <c r="T301" s="94"/>
    </row>
    <row r="302" spans="1:20">
      <c r="A302" s="97" t="s">
        <v>130</v>
      </c>
      <c r="B302" s="97"/>
      <c r="C302" s="97"/>
      <c r="D302" s="115">
        <f t="shared" ref="D302:J302" si="71">D292+D301</f>
        <v>10342963.62685</v>
      </c>
      <c r="E302" s="115">
        <f t="shared" si="71"/>
        <v>12399299.075161751</v>
      </c>
      <c r="F302" s="115">
        <f t="shared" si="71"/>
        <v>14178582.457825802</v>
      </c>
      <c r="G302" s="115">
        <f t="shared" si="71"/>
        <v>16104795.931068357</v>
      </c>
      <c r="H302" s="115">
        <f t="shared" si="71"/>
        <v>18188184.2954906</v>
      </c>
      <c r="I302" s="115">
        <f t="shared" si="71"/>
        <v>20439649.506527398</v>
      </c>
      <c r="J302" s="115">
        <f t="shared" si="71"/>
        <v>22870790.777929153</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319</v>
      </c>
      <c r="B305" s="97"/>
      <c r="C305" s="97"/>
      <c r="D305" s="115">
        <f t="shared" ref="D305:J305" si="72">D229-D302</f>
        <v>1501006.5381500013</v>
      </c>
      <c r="E305" s="115">
        <f t="shared" si="72"/>
        <v>1930890.889663253</v>
      </c>
      <c r="F305" s="115">
        <f t="shared" si="72"/>
        <v>2242207.1804779489</v>
      </c>
      <c r="G305" s="115">
        <f t="shared" si="72"/>
        <v>2579827.8731499612</v>
      </c>
      <c r="H305" s="115">
        <f t="shared" si="72"/>
        <v>2945605.1171379797</v>
      </c>
      <c r="I305" s="115">
        <f t="shared" si="72"/>
        <v>3341510.5158419274</v>
      </c>
      <c r="J305" s="115">
        <f t="shared" si="72"/>
        <v>3769642.4416234158</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22" t="s">
        <v>433</v>
      </c>
      <c r="B308" s="422"/>
      <c r="C308" s="422"/>
      <c r="D308" s="422"/>
      <c r="E308" s="422"/>
      <c r="F308" s="422"/>
      <c r="G308" s="422"/>
      <c r="H308" s="422"/>
      <c r="I308" s="422"/>
      <c r="J308" s="422"/>
    </row>
    <row r="310" spans="1:20">
      <c r="A310" t="s">
        <v>550</v>
      </c>
    </row>
    <row r="311" spans="1:20">
      <c r="A311">
        <v>1</v>
      </c>
      <c r="B311" t="s">
        <v>563</v>
      </c>
    </row>
    <row r="312" spans="1:20">
      <c r="A312">
        <v>2</v>
      </c>
      <c r="B312" t="s">
        <v>564</v>
      </c>
    </row>
    <row r="313" spans="1:20">
      <c r="A313">
        <v>3</v>
      </c>
      <c r="B313" s="94" t="s">
        <v>616</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zoomScale="80" zoomScaleSheetLayoutView="80" workbookViewId="0">
      <selection activeCell="C173" sqref="C173"/>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21" t="s">
        <v>600</v>
      </c>
      <c r="B3" s="421"/>
      <c r="C3" s="421"/>
      <c r="D3" s="421"/>
      <c r="E3" s="421"/>
      <c r="F3" s="421"/>
      <c r="G3" s="421"/>
      <c r="H3" s="421"/>
    </row>
    <row r="4" spans="1:8" ht="18.75">
      <c r="A4" s="421" t="s">
        <v>601</v>
      </c>
      <c r="B4" s="421"/>
      <c r="C4" s="421"/>
      <c r="D4" s="421"/>
      <c r="E4" s="421"/>
      <c r="F4" s="421"/>
      <c r="G4" s="421"/>
      <c r="H4" s="421"/>
    </row>
    <row r="5" spans="1:8">
      <c r="A5" s="94" t="s">
        <v>163</v>
      </c>
      <c r="B5" s="250">
        <v>1</v>
      </c>
      <c r="C5" s="94" t="s">
        <v>480</v>
      </c>
      <c r="D5" s="94"/>
      <c r="E5" s="94"/>
      <c r="F5" s="94"/>
      <c r="G5" s="94"/>
      <c r="H5" s="94"/>
    </row>
    <row r="6" spans="1:8">
      <c r="A6" s="94" t="s">
        <v>164</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v>300</v>
      </c>
      <c r="C12" s="317">
        <v>300</v>
      </c>
      <c r="D12" s="317">
        <v>300</v>
      </c>
      <c r="E12" s="317">
        <v>300</v>
      </c>
      <c r="F12" s="317">
        <v>300</v>
      </c>
      <c r="G12" s="317">
        <v>300</v>
      </c>
      <c r="H12" s="317">
        <v>300</v>
      </c>
    </row>
    <row r="13" spans="1:8">
      <c r="A13" s="95" t="str">
        <f>'10.Grain Production details'!A67</f>
        <v>Soybean</v>
      </c>
      <c r="B13" s="95">
        <v>0</v>
      </c>
      <c r="C13" s="95">
        <v>0</v>
      </c>
      <c r="D13" s="95">
        <v>0</v>
      </c>
      <c r="E13" s="95">
        <v>0</v>
      </c>
      <c r="F13" s="95">
        <v>0</v>
      </c>
      <c r="G13" s="95">
        <v>0</v>
      </c>
      <c r="H13" s="95">
        <v>0</v>
      </c>
    </row>
    <row r="14" spans="1:8">
      <c r="A14" s="95" t="str">
        <f>'10.Grain Production details'!A68</f>
        <v>Red Gram/Tur</v>
      </c>
      <c r="B14" s="95">
        <f>'10.Grain Production details'!B68</f>
        <v>359.09999999999997</v>
      </c>
      <c r="C14" s="95">
        <f>'10.Grain Production details'!C68</f>
        <v>389.02500000000003</v>
      </c>
      <c r="D14" s="95">
        <f>'10.Grain Production details'!D68</f>
        <v>418.95000000000005</v>
      </c>
      <c r="E14" s="95">
        <f>'10.Grain Production details'!E68</f>
        <v>448.87500000000006</v>
      </c>
      <c r="F14" s="95">
        <f>'10.Grain Production details'!F68</f>
        <v>478.80000000000007</v>
      </c>
      <c r="G14" s="95">
        <f>'10.Grain Production details'!G68</f>
        <v>508.72500000000014</v>
      </c>
      <c r="H14" s="95">
        <f>'10.Grain Production details'!H68</f>
        <v>538.65000000000009</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648.27</v>
      </c>
      <c r="C16" s="95">
        <f>'10.Grain Production details'!C70</f>
        <v>702.29250000000002</v>
      </c>
      <c r="D16" s="95">
        <f>'10.Grain Production details'!D70</f>
        <v>756.31500000000005</v>
      </c>
      <c r="E16" s="95">
        <f>'10.Grain Production details'!E70</f>
        <v>810.3375000000002</v>
      </c>
      <c r="F16" s="95">
        <f>'10.Grain Production details'!F70</f>
        <v>864.36000000000024</v>
      </c>
      <c r="G16" s="95">
        <f>'10.Grain Production details'!G70</f>
        <v>918.38250000000028</v>
      </c>
      <c r="H16" s="95">
        <f>'10.Grain Production details'!H70</f>
        <v>972.40500000000031</v>
      </c>
    </row>
    <row r="17" spans="1:8">
      <c r="A17" s="95" t="str">
        <f>'10.Grain Production details'!A71</f>
        <v>Maize</v>
      </c>
      <c r="B17" s="95">
        <v>0</v>
      </c>
      <c r="C17" s="95">
        <v>0</v>
      </c>
      <c r="D17" s="95">
        <v>0</v>
      </c>
      <c r="E17" s="95">
        <v>0</v>
      </c>
      <c r="F17" s="95">
        <v>0</v>
      </c>
      <c r="G17" s="95">
        <v>0</v>
      </c>
      <c r="H17" s="95">
        <v>0</v>
      </c>
    </row>
    <row r="18" spans="1:8">
      <c r="A18" s="95" t="str">
        <f>'10.Grain Production details'!A72</f>
        <v>Black Gram/Udid</v>
      </c>
      <c r="B18" s="95">
        <f>'10.Grain Production details'!B72</f>
        <v>510.29999999999995</v>
      </c>
      <c r="C18" s="95">
        <f>'10.Grain Production details'!C72</f>
        <v>552.82500000000005</v>
      </c>
      <c r="D18" s="95">
        <f>'10.Grain Production details'!D72</f>
        <v>595.35</v>
      </c>
      <c r="E18" s="95">
        <f>'10.Grain Production details'!E72</f>
        <v>637.87500000000011</v>
      </c>
      <c r="F18" s="95">
        <f>'10.Grain Production details'!F72</f>
        <v>680.40000000000009</v>
      </c>
      <c r="G18" s="95">
        <f>'10.Grain Production details'!G72</f>
        <v>722.92500000000018</v>
      </c>
      <c r="H18" s="95">
        <f>'10.Grain Production details'!H72</f>
        <v>765.45000000000016</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Bengal Gram/Channa</v>
      </c>
      <c r="B23" s="95">
        <f>'10.Grain Production details'!B77</f>
        <v>182.25</v>
      </c>
      <c r="C23" s="95">
        <f>'10.Grain Production details'!C77</f>
        <v>197.4375</v>
      </c>
      <c r="D23" s="95">
        <f>'10.Grain Production details'!D77</f>
        <v>212.62500000000003</v>
      </c>
      <c r="E23" s="95">
        <f>'10.Grain Production details'!E77</f>
        <v>227.81250000000003</v>
      </c>
      <c r="F23" s="95">
        <f>'10.Grain Production details'!F77</f>
        <v>243.00000000000006</v>
      </c>
      <c r="G23" s="95">
        <f>'10.Grain Production details'!G77</f>
        <v>258.18750000000006</v>
      </c>
      <c r="H23" s="95">
        <f>'10.Grain Production details'!H77</f>
        <v>273.37500000000006</v>
      </c>
    </row>
    <row r="24" spans="1:8">
      <c r="A24" s="95" t="str">
        <f>'10.Grain Production details'!A78</f>
        <v>Jawar</v>
      </c>
      <c r="B24" s="95">
        <v>0</v>
      </c>
      <c r="C24" s="95">
        <v>0</v>
      </c>
      <c r="D24" s="95">
        <v>0</v>
      </c>
      <c r="E24" s="95">
        <v>0</v>
      </c>
      <c r="F24" s="95">
        <v>0</v>
      </c>
      <c r="G24" s="95">
        <v>0</v>
      </c>
      <c r="H24" s="95">
        <v>0</v>
      </c>
    </row>
    <row r="25" spans="1:8">
      <c r="A25" s="95" t="str">
        <f>'10.Grain Production details'!A79</f>
        <v>Maize</v>
      </c>
      <c r="B25" s="95">
        <v>0</v>
      </c>
      <c r="C25" s="95">
        <v>0</v>
      </c>
      <c r="D25" s="95">
        <v>0</v>
      </c>
      <c r="E25" s="95">
        <v>0</v>
      </c>
      <c r="F25" s="95">
        <v>0</v>
      </c>
      <c r="G25" s="95">
        <v>0</v>
      </c>
      <c r="H25" s="95">
        <v>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471</v>
      </c>
      <c r="B32" s="95">
        <f>SUM(B13:B31)</f>
        <v>1699.9199999999998</v>
      </c>
      <c r="C32" s="95">
        <f t="shared" ref="C32:H32" si="0">SUM(C13:C31)</f>
        <v>1841.5800000000002</v>
      </c>
      <c r="D32" s="95">
        <f t="shared" si="0"/>
        <v>1983.2400000000002</v>
      </c>
      <c r="E32" s="95">
        <f t="shared" si="0"/>
        <v>2124.9000000000005</v>
      </c>
      <c r="F32" s="95">
        <f t="shared" si="0"/>
        <v>2266.5600000000004</v>
      </c>
      <c r="G32" s="95">
        <f t="shared" si="0"/>
        <v>2408.2200000000007</v>
      </c>
      <c r="H32" s="95">
        <f t="shared" si="0"/>
        <v>2549.8800000000006</v>
      </c>
    </row>
    <row r="33" spans="1:8">
      <c r="A33" s="327" t="s">
        <v>167</v>
      </c>
      <c r="B33" s="282">
        <v>0.5</v>
      </c>
      <c r="C33" s="282">
        <f>B33</f>
        <v>0.5</v>
      </c>
      <c r="D33" s="282">
        <f t="shared" ref="D33:H33" si="1">C33</f>
        <v>0.5</v>
      </c>
      <c r="E33" s="282">
        <f t="shared" si="1"/>
        <v>0.5</v>
      </c>
      <c r="F33" s="282">
        <f t="shared" si="1"/>
        <v>0.5</v>
      </c>
      <c r="G33" s="282">
        <f t="shared" si="1"/>
        <v>0.5</v>
      </c>
      <c r="H33" s="282">
        <f t="shared" si="1"/>
        <v>0.5</v>
      </c>
    </row>
    <row r="34" spans="1:8">
      <c r="A34" s="99" t="s">
        <v>481</v>
      </c>
      <c r="B34" s="328">
        <f>1-B33</f>
        <v>0.5</v>
      </c>
      <c r="C34" s="328">
        <f t="shared" ref="C34:H34" si="2">1-C33</f>
        <v>0.5</v>
      </c>
      <c r="D34" s="328">
        <f t="shared" si="2"/>
        <v>0.5</v>
      </c>
      <c r="E34" s="328">
        <f t="shared" si="2"/>
        <v>0.5</v>
      </c>
      <c r="F34" s="328">
        <f t="shared" si="2"/>
        <v>0.5</v>
      </c>
      <c r="G34" s="328">
        <f t="shared" si="2"/>
        <v>0.5</v>
      </c>
      <c r="H34" s="328">
        <f t="shared" si="2"/>
        <v>0.5</v>
      </c>
    </row>
    <row r="35" spans="1:8">
      <c r="A35" s="97" t="s">
        <v>167</v>
      </c>
      <c r="B35" s="261">
        <f>B32*B33</f>
        <v>849.95999999999992</v>
      </c>
      <c r="C35" s="261">
        <f t="shared" ref="C35:H35" si="3">C32*C33</f>
        <v>920.79000000000008</v>
      </c>
      <c r="D35" s="261">
        <f t="shared" si="3"/>
        <v>991.62000000000012</v>
      </c>
      <c r="E35" s="261">
        <f t="shared" si="3"/>
        <v>1062.4500000000003</v>
      </c>
      <c r="F35" s="261">
        <f t="shared" si="3"/>
        <v>1133.2800000000002</v>
      </c>
      <c r="G35" s="261">
        <f t="shared" si="3"/>
        <v>1204.1100000000004</v>
      </c>
      <c r="H35" s="261">
        <f t="shared" si="3"/>
        <v>1274.9400000000003</v>
      </c>
    </row>
    <row r="36" spans="1:8">
      <c r="A36" s="97" t="s">
        <v>168</v>
      </c>
      <c r="B36" s="115"/>
      <c r="C36" s="115"/>
      <c r="D36" s="115"/>
      <c r="E36" s="115"/>
      <c r="F36" s="115"/>
      <c r="G36" s="115"/>
      <c r="H36" s="115"/>
    </row>
    <row r="37" spans="1:8">
      <c r="A37" s="95" t="str">
        <f t="shared" ref="A37:A55" si="4">A13</f>
        <v>Soybean</v>
      </c>
      <c r="B37" s="96">
        <f t="shared" ref="B37:B55" si="5">B13*$B$34</f>
        <v>0</v>
      </c>
      <c r="C37" s="96">
        <f t="shared" ref="C37:H37" si="6">C13*$B$34</f>
        <v>0</v>
      </c>
      <c r="D37" s="96">
        <f t="shared" si="6"/>
        <v>0</v>
      </c>
      <c r="E37" s="96">
        <f t="shared" si="6"/>
        <v>0</v>
      </c>
      <c r="F37" s="96">
        <f t="shared" si="6"/>
        <v>0</v>
      </c>
      <c r="G37" s="96">
        <f t="shared" si="6"/>
        <v>0</v>
      </c>
      <c r="H37" s="96">
        <f t="shared" si="6"/>
        <v>0</v>
      </c>
    </row>
    <row r="38" spans="1:8">
      <c r="A38" s="95" t="str">
        <f t="shared" si="4"/>
        <v>Red Gram/Tur</v>
      </c>
      <c r="B38" s="96">
        <f t="shared" si="5"/>
        <v>179.54999999999998</v>
      </c>
      <c r="C38" s="96">
        <f t="shared" ref="C38:C55" si="7">C14*$C$34</f>
        <v>194.51250000000002</v>
      </c>
      <c r="D38" s="96">
        <f t="shared" ref="D38:D55" si="8">D14*$D$34</f>
        <v>209.47500000000002</v>
      </c>
      <c r="E38" s="96">
        <f t="shared" ref="E38:E55" si="9">E14*$E$34</f>
        <v>224.43750000000003</v>
      </c>
      <c r="F38" s="96">
        <f t="shared" ref="F38:F55" si="10">F14*$F$34</f>
        <v>239.40000000000003</v>
      </c>
      <c r="G38" s="96">
        <f t="shared" ref="G38:G55" si="11">G14*$G$34</f>
        <v>254.36250000000007</v>
      </c>
      <c r="H38" s="96">
        <f t="shared" ref="H38:H55" si="12">H14*$H$34</f>
        <v>269.32500000000005</v>
      </c>
    </row>
    <row r="39" spans="1:8">
      <c r="A39" s="95" t="str">
        <f t="shared" si="4"/>
        <v>Paddy/Rice</v>
      </c>
      <c r="B39" s="96">
        <f t="shared" si="5"/>
        <v>0</v>
      </c>
      <c r="C39" s="96">
        <f t="shared" si="7"/>
        <v>0</v>
      </c>
      <c r="D39" s="96">
        <f t="shared" si="8"/>
        <v>0</v>
      </c>
      <c r="E39" s="96">
        <f t="shared" si="9"/>
        <v>0</v>
      </c>
      <c r="F39" s="96">
        <f t="shared" si="10"/>
        <v>0</v>
      </c>
      <c r="G39" s="96">
        <f t="shared" si="11"/>
        <v>0</v>
      </c>
      <c r="H39" s="96">
        <f t="shared" si="12"/>
        <v>0</v>
      </c>
    </row>
    <row r="40" spans="1:8">
      <c r="A40" s="95" t="str">
        <f t="shared" si="4"/>
        <v>Green Gram/ Moong</v>
      </c>
      <c r="B40" s="96">
        <f t="shared" si="5"/>
        <v>324.13499999999999</v>
      </c>
      <c r="C40" s="96">
        <f t="shared" si="7"/>
        <v>351.14625000000001</v>
      </c>
      <c r="D40" s="96">
        <f t="shared" si="8"/>
        <v>378.15750000000003</v>
      </c>
      <c r="E40" s="96">
        <f t="shared" si="9"/>
        <v>405.1687500000001</v>
      </c>
      <c r="F40" s="96">
        <f t="shared" si="10"/>
        <v>432.18000000000012</v>
      </c>
      <c r="G40" s="96">
        <f t="shared" si="11"/>
        <v>459.19125000000014</v>
      </c>
      <c r="H40" s="96">
        <f t="shared" si="12"/>
        <v>486.20250000000016</v>
      </c>
    </row>
    <row r="41" spans="1:8">
      <c r="A41" s="95" t="str">
        <f t="shared" si="4"/>
        <v>Maize</v>
      </c>
      <c r="B41" s="96">
        <f t="shared" si="5"/>
        <v>0</v>
      </c>
      <c r="C41" s="96">
        <f t="shared" si="7"/>
        <v>0</v>
      </c>
      <c r="D41" s="96">
        <f t="shared" si="8"/>
        <v>0</v>
      </c>
      <c r="E41" s="96">
        <f t="shared" si="9"/>
        <v>0</v>
      </c>
      <c r="F41" s="96">
        <f t="shared" si="10"/>
        <v>0</v>
      </c>
      <c r="G41" s="96">
        <f t="shared" si="11"/>
        <v>0</v>
      </c>
      <c r="H41" s="96">
        <f t="shared" si="12"/>
        <v>0</v>
      </c>
    </row>
    <row r="42" spans="1:8">
      <c r="A42" s="95" t="str">
        <f t="shared" si="4"/>
        <v>Black Gram/Udid</v>
      </c>
      <c r="B42" s="96">
        <f t="shared" si="5"/>
        <v>255.14999999999998</v>
      </c>
      <c r="C42" s="96">
        <f t="shared" si="7"/>
        <v>276.41250000000002</v>
      </c>
      <c r="D42" s="96">
        <f t="shared" si="8"/>
        <v>297.67500000000001</v>
      </c>
      <c r="E42" s="96">
        <f t="shared" si="9"/>
        <v>318.93750000000006</v>
      </c>
      <c r="F42" s="96">
        <f t="shared" si="10"/>
        <v>340.20000000000005</v>
      </c>
      <c r="G42" s="96">
        <f t="shared" si="11"/>
        <v>361.46250000000009</v>
      </c>
      <c r="H42" s="96">
        <f t="shared" si="12"/>
        <v>382.72500000000008</v>
      </c>
    </row>
    <row r="43" spans="1:8">
      <c r="A43" s="95" t="str">
        <f t="shared" si="4"/>
        <v>Bajra</v>
      </c>
      <c r="B43" s="96">
        <f t="shared" si="5"/>
        <v>0</v>
      </c>
      <c r="C43" s="96">
        <f t="shared" si="7"/>
        <v>0</v>
      </c>
      <c r="D43" s="96">
        <f t="shared" si="8"/>
        <v>0</v>
      </c>
      <c r="E43" s="96">
        <f t="shared" si="9"/>
        <v>0</v>
      </c>
      <c r="F43" s="96">
        <f t="shared" si="10"/>
        <v>0</v>
      </c>
      <c r="G43" s="96">
        <f t="shared" si="11"/>
        <v>0</v>
      </c>
      <c r="H43" s="96">
        <f t="shared" si="12"/>
        <v>0</v>
      </c>
    </row>
    <row r="44" spans="1:8">
      <c r="A44" s="95" t="str">
        <f t="shared" si="4"/>
        <v>Jawar</v>
      </c>
      <c r="B44" s="96">
        <f t="shared" si="5"/>
        <v>0</v>
      </c>
      <c r="C44" s="96">
        <f t="shared" si="7"/>
        <v>0</v>
      </c>
      <c r="D44" s="96">
        <f t="shared" si="8"/>
        <v>0</v>
      </c>
      <c r="E44" s="96">
        <f t="shared" si="9"/>
        <v>0</v>
      </c>
      <c r="F44" s="96">
        <f t="shared" si="10"/>
        <v>0</v>
      </c>
      <c r="G44" s="96">
        <f t="shared" si="11"/>
        <v>0</v>
      </c>
      <c r="H44" s="96">
        <f t="shared" si="12"/>
        <v>0</v>
      </c>
    </row>
    <row r="45" spans="1:8">
      <c r="A45" s="95" t="str">
        <f t="shared" si="4"/>
        <v>Sunflower</v>
      </c>
      <c r="B45" s="96">
        <f t="shared" si="5"/>
        <v>0</v>
      </c>
      <c r="C45" s="96">
        <f t="shared" si="7"/>
        <v>0</v>
      </c>
      <c r="D45" s="96">
        <f t="shared" si="8"/>
        <v>0</v>
      </c>
      <c r="E45" s="96">
        <f t="shared" si="9"/>
        <v>0</v>
      </c>
      <c r="F45" s="96">
        <f t="shared" si="10"/>
        <v>0</v>
      </c>
      <c r="G45" s="96">
        <f t="shared" si="11"/>
        <v>0</v>
      </c>
      <c r="H45" s="96">
        <f t="shared" si="12"/>
        <v>0</v>
      </c>
    </row>
    <row r="46" spans="1:8">
      <c r="A46" s="95" t="str">
        <f t="shared" si="4"/>
        <v>Wheat</v>
      </c>
      <c r="B46" s="96">
        <f t="shared" si="5"/>
        <v>0</v>
      </c>
      <c r="C46" s="96">
        <f t="shared" si="7"/>
        <v>0</v>
      </c>
      <c r="D46" s="96">
        <f t="shared" si="8"/>
        <v>0</v>
      </c>
      <c r="E46" s="96">
        <f t="shared" si="9"/>
        <v>0</v>
      </c>
      <c r="F46" s="96">
        <f t="shared" si="10"/>
        <v>0</v>
      </c>
      <c r="G46" s="96">
        <f t="shared" si="11"/>
        <v>0</v>
      </c>
      <c r="H46" s="96">
        <f t="shared" si="12"/>
        <v>0</v>
      </c>
    </row>
    <row r="47" spans="1:8">
      <c r="A47" s="95" t="str">
        <f t="shared" si="4"/>
        <v>Bengal Gram/Channa</v>
      </c>
      <c r="B47" s="96">
        <f t="shared" si="5"/>
        <v>91.125</v>
      </c>
      <c r="C47" s="96">
        <f t="shared" si="7"/>
        <v>98.71875</v>
      </c>
      <c r="D47" s="96">
        <f t="shared" si="8"/>
        <v>106.31250000000001</v>
      </c>
      <c r="E47" s="96">
        <f t="shared" si="9"/>
        <v>113.90625000000001</v>
      </c>
      <c r="F47" s="96">
        <f t="shared" si="10"/>
        <v>121.50000000000003</v>
      </c>
      <c r="G47" s="96">
        <f t="shared" si="11"/>
        <v>129.09375000000003</v>
      </c>
      <c r="H47" s="96">
        <f t="shared" si="12"/>
        <v>136.68750000000003</v>
      </c>
    </row>
    <row r="48" spans="1:8">
      <c r="A48" s="95" t="str">
        <f t="shared" si="4"/>
        <v>Jawar</v>
      </c>
      <c r="B48" s="96">
        <f t="shared" si="5"/>
        <v>0</v>
      </c>
      <c r="C48" s="96">
        <f t="shared" si="7"/>
        <v>0</v>
      </c>
      <c r="D48" s="96">
        <f t="shared" si="8"/>
        <v>0</v>
      </c>
      <c r="E48" s="96">
        <f t="shared" si="9"/>
        <v>0</v>
      </c>
      <c r="F48" s="96">
        <f t="shared" si="10"/>
        <v>0</v>
      </c>
      <c r="G48" s="96">
        <f t="shared" si="11"/>
        <v>0</v>
      </c>
      <c r="H48" s="96">
        <f t="shared" si="12"/>
        <v>0</v>
      </c>
    </row>
    <row r="49" spans="1:8">
      <c r="A49" s="95" t="str">
        <f t="shared" si="4"/>
        <v>Maize</v>
      </c>
      <c r="B49" s="96">
        <f t="shared" si="5"/>
        <v>0</v>
      </c>
      <c r="C49" s="96">
        <f t="shared" si="7"/>
        <v>0</v>
      </c>
      <c r="D49" s="96">
        <f t="shared" si="8"/>
        <v>0</v>
      </c>
      <c r="E49" s="96">
        <f t="shared" si="9"/>
        <v>0</v>
      </c>
      <c r="F49" s="96">
        <f t="shared" si="10"/>
        <v>0</v>
      </c>
      <c r="G49" s="96">
        <f t="shared" si="11"/>
        <v>0</v>
      </c>
      <c r="H49" s="96">
        <f t="shared" si="12"/>
        <v>0</v>
      </c>
    </row>
    <row r="50" spans="1:8">
      <c r="A50" s="95" t="str">
        <f t="shared" si="4"/>
        <v>Safflower</v>
      </c>
      <c r="B50" s="96">
        <f t="shared" si="5"/>
        <v>0</v>
      </c>
      <c r="C50" s="96">
        <f t="shared" si="7"/>
        <v>0</v>
      </c>
      <c r="D50" s="96">
        <f t="shared" si="8"/>
        <v>0</v>
      </c>
      <c r="E50" s="96">
        <f t="shared" si="9"/>
        <v>0</v>
      </c>
      <c r="F50" s="96">
        <f t="shared" si="10"/>
        <v>0</v>
      </c>
      <c r="G50" s="96">
        <f t="shared" si="11"/>
        <v>0</v>
      </c>
      <c r="H50" s="96">
        <f t="shared" si="12"/>
        <v>0</v>
      </c>
    </row>
    <row r="51" spans="1:8">
      <c r="A51" s="95">
        <f t="shared" si="4"/>
        <v>0</v>
      </c>
      <c r="B51" s="96">
        <f t="shared" si="5"/>
        <v>0</v>
      </c>
      <c r="C51" s="96">
        <f t="shared" si="7"/>
        <v>0</v>
      </c>
      <c r="D51" s="96">
        <f t="shared" si="8"/>
        <v>0</v>
      </c>
      <c r="E51" s="96">
        <f t="shared" si="9"/>
        <v>0</v>
      </c>
      <c r="F51" s="96">
        <f t="shared" si="10"/>
        <v>0</v>
      </c>
      <c r="G51" s="96">
        <f t="shared" si="11"/>
        <v>0</v>
      </c>
      <c r="H51" s="96">
        <f t="shared" si="12"/>
        <v>0</v>
      </c>
    </row>
    <row r="52" spans="1:8">
      <c r="A52" s="95">
        <f t="shared" si="4"/>
        <v>0</v>
      </c>
      <c r="B52" s="96">
        <f t="shared" si="5"/>
        <v>0</v>
      </c>
      <c r="C52" s="96">
        <f t="shared" si="7"/>
        <v>0</v>
      </c>
      <c r="D52" s="96">
        <f t="shared" si="8"/>
        <v>0</v>
      </c>
      <c r="E52" s="96">
        <f t="shared" si="9"/>
        <v>0</v>
      </c>
      <c r="F52" s="96">
        <f t="shared" si="10"/>
        <v>0</v>
      </c>
      <c r="G52" s="96">
        <f t="shared" si="11"/>
        <v>0</v>
      </c>
      <c r="H52" s="96">
        <f t="shared" si="12"/>
        <v>0</v>
      </c>
    </row>
    <row r="53" spans="1:8">
      <c r="A53" s="95">
        <f t="shared" si="4"/>
        <v>0</v>
      </c>
      <c r="B53" s="96">
        <f t="shared" si="5"/>
        <v>0</v>
      </c>
      <c r="C53" s="96">
        <f t="shared" si="7"/>
        <v>0</v>
      </c>
      <c r="D53" s="96">
        <f t="shared" si="8"/>
        <v>0</v>
      </c>
      <c r="E53" s="96">
        <f t="shared" si="9"/>
        <v>0</v>
      </c>
      <c r="F53" s="96">
        <f t="shared" si="10"/>
        <v>0</v>
      </c>
      <c r="G53" s="96">
        <f t="shared" si="11"/>
        <v>0</v>
      </c>
      <c r="H53" s="96">
        <f t="shared" si="12"/>
        <v>0</v>
      </c>
    </row>
    <row r="54" spans="1:8">
      <c r="A54" s="95" t="str">
        <f t="shared" si="4"/>
        <v>Groundnut</v>
      </c>
      <c r="B54" s="96">
        <f t="shared" si="5"/>
        <v>0</v>
      </c>
      <c r="C54" s="96">
        <f t="shared" si="7"/>
        <v>0</v>
      </c>
      <c r="D54" s="96">
        <f t="shared" si="8"/>
        <v>0</v>
      </c>
      <c r="E54" s="96">
        <f t="shared" si="9"/>
        <v>0</v>
      </c>
      <c r="F54" s="96">
        <f t="shared" si="10"/>
        <v>0</v>
      </c>
      <c r="G54" s="96">
        <f t="shared" si="11"/>
        <v>0</v>
      </c>
      <c r="H54" s="96">
        <f t="shared" si="12"/>
        <v>0</v>
      </c>
    </row>
    <row r="55" spans="1:8">
      <c r="A55" s="95">
        <f t="shared" si="4"/>
        <v>0</v>
      </c>
      <c r="B55" s="96">
        <f t="shared" si="5"/>
        <v>0</v>
      </c>
      <c r="C55" s="96">
        <f t="shared" si="7"/>
        <v>0</v>
      </c>
      <c r="D55" s="96">
        <f t="shared" si="8"/>
        <v>0</v>
      </c>
      <c r="E55" s="96">
        <f t="shared" si="9"/>
        <v>0</v>
      </c>
      <c r="F55" s="96">
        <f t="shared" si="10"/>
        <v>0</v>
      </c>
      <c r="G55" s="96">
        <f t="shared" si="11"/>
        <v>0</v>
      </c>
      <c r="H55" s="96">
        <f t="shared" si="12"/>
        <v>0</v>
      </c>
    </row>
    <row r="56" spans="1:8">
      <c r="A56" s="95"/>
      <c r="B56" s="95"/>
      <c r="C56" s="95"/>
      <c r="D56" s="95"/>
      <c r="E56" s="95"/>
      <c r="F56" s="95"/>
      <c r="G56" s="95"/>
      <c r="H56" s="95"/>
    </row>
    <row r="57" spans="1:8">
      <c r="A57" s="97" t="s">
        <v>289</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472</v>
      </c>
      <c r="B63" s="191">
        <f>B38*80%</f>
        <v>143.63999999999999</v>
      </c>
      <c r="C63" s="191">
        <f t="shared" ref="C63:H63" si="13">C38*80%</f>
        <v>155.61000000000001</v>
      </c>
      <c r="D63" s="191">
        <f t="shared" si="13"/>
        <v>167.58000000000004</v>
      </c>
      <c r="E63" s="191">
        <f t="shared" si="13"/>
        <v>179.55000000000004</v>
      </c>
      <c r="F63" s="191">
        <f t="shared" si="13"/>
        <v>191.52000000000004</v>
      </c>
      <c r="G63" s="191">
        <f t="shared" si="13"/>
        <v>203.49000000000007</v>
      </c>
      <c r="H63" s="191">
        <f t="shared" si="13"/>
        <v>215.46000000000004</v>
      </c>
    </row>
    <row r="64" spans="1:8">
      <c r="A64" s="95" t="s">
        <v>142</v>
      </c>
      <c r="B64" s="191">
        <f>B38*20%</f>
        <v>35.909999999999997</v>
      </c>
      <c r="C64" s="191">
        <f t="shared" ref="C64:H64" si="14">C38*20%</f>
        <v>38.902500000000003</v>
      </c>
      <c r="D64" s="191">
        <f t="shared" si="14"/>
        <v>41.89500000000001</v>
      </c>
      <c r="E64" s="191">
        <f t="shared" si="14"/>
        <v>44.88750000000001</v>
      </c>
      <c r="F64" s="191">
        <f t="shared" si="14"/>
        <v>47.88000000000001</v>
      </c>
      <c r="G64" s="191">
        <f t="shared" si="14"/>
        <v>50.872500000000016</v>
      </c>
      <c r="H64" s="191">
        <f t="shared" si="14"/>
        <v>53.865000000000009</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472</v>
      </c>
      <c r="B70" s="96">
        <f>B40*80%</f>
        <v>259.30799999999999</v>
      </c>
      <c r="C70" s="96">
        <f t="shared" ref="C70:H70" si="15">C40*80%</f>
        <v>280.91700000000003</v>
      </c>
      <c r="D70" s="96">
        <f t="shared" si="15"/>
        <v>302.52600000000001</v>
      </c>
      <c r="E70" s="96">
        <f t="shared" si="15"/>
        <v>324.1350000000001</v>
      </c>
      <c r="F70" s="96">
        <f t="shared" si="15"/>
        <v>345.74400000000014</v>
      </c>
      <c r="G70" s="96">
        <f t="shared" si="15"/>
        <v>367.35300000000012</v>
      </c>
      <c r="H70" s="96">
        <f t="shared" si="15"/>
        <v>388.96200000000016</v>
      </c>
    </row>
    <row r="71" spans="1:8">
      <c r="A71" s="95" t="s">
        <v>142</v>
      </c>
      <c r="B71" s="96">
        <f>B40*20%</f>
        <v>64.826999999999998</v>
      </c>
      <c r="C71" s="96">
        <f t="shared" ref="C71:H71" si="16">C40*20%</f>
        <v>70.229250000000008</v>
      </c>
      <c r="D71" s="96">
        <f t="shared" si="16"/>
        <v>75.631500000000003</v>
      </c>
      <c r="E71" s="96">
        <f t="shared" si="16"/>
        <v>81.033750000000026</v>
      </c>
      <c r="F71" s="96">
        <f t="shared" si="16"/>
        <v>86.436000000000035</v>
      </c>
      <c r="G71" s="96">
        <f t="shared" si="16"/>
        <v>91.838250000000031</v>
      </c>
      <c r="H71" s="96">
        <f t="shared" si="16"/>
        <v>97.24050000000004</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472</v>
      </c>
      <c r="B78" s="96">
        <f t="shared" ref="B78:H78" si="17">B42*80%</f>
        <v>204.12</v>
      </c>
      <c r="C78" s="96">
        <f t="shared" si="17"/>
        <v>221.13000000000002</v>
      </c>
      <c r="D78" s="96">
        <f t="shared" si="17"/>
        <v>238.14000000000001</v>
      </c>
      <c r="E78" s="96">
        <f t="shared" si="17"/>
        <v>255.15000000000006</v>
      </c>
      <c r="F78" s="96">
        <f t="shared" si="17"/>
        <v>272.16000000000003</v>
      </c>
      <c r="G78" s="96">
        <f t="shared" si="17"/>
        <v>289.17000000000007</v>
      </c>
      <c r="H78" s="96">
        <f t="shared" si="17"/>
        <v>306.18000000000006</v>
      </c>
    </row>
    <row r="79" spans="1:8">
      <c r="A79" s="95" t="s">
        <v>142</v>
      </c>
      <c r="B79" s="96">
        <f t="shared" ref="B79:H79" si="18">B42*20%</f>
        <v>51.03</v>
      </c>
      <c r="C79" s="96">
        <f t="shared" si="18"/>
        <v>55.282500000000006</v>
      </c>
      <c r="D79" s="96">
        <f t="shared" si="18"/>
        <v>59.535000000000004</v>
      </c>
      <c r="E79" s="96">
        <f t="shared" si="18"/>
        <v>63.787500000000016</v>
      </c>
      <c r="F79" s="96">
        <f t="shared" si="18"/>
        <v>68.040000000000006</v>
      </c>
      <c r="G79" s="96">
        <f t="shared" si="18"/>
        <v>72.292500000000018</v>
      </c>
      <c r="H79" s="96">
        <f t="shared" si="18"/>
        <v>76.545000000000016</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Bengal Gram/Channa</v>
      </c>
      <c r="B94" s="96"/>
      <c r="C94" s="96"/>
      <c r="D94" s="96"/>
      <c r="E94" s="96"/>
      <c r="F94" s="96"/>
      <c r="G94" s="96"/>
      <c r="H94" s="96"/>
    </row>
    <row r="95" spans="1:8">
      <c r="A95" s="95" t="s">
        <v>472</v>
      </c>
      <c r="B95" s="96">
        <f t="shared" ref="B95:H95" si="19">B47*80%</f>
        <v>72.900000000000006</v>
      </c>
      <c r="C95" s="96">
        <f t="shared" si="19"/>
        <v>78.975000000000009</v>
      </c>
      <c r="D95" s="96">
        <f t="shared" si="19"/>
        <v>85.050000000000011</v>
      </c>
      <c r="E95" s="96">
        <f t="shared" si="19"/>
        <v>91.125000000000014</v>
      </c>
      <c r="F95" s="96">
        <f t="shared" si="19"/>
        <v>97.200000000000031</v>
      </c>
      <c r="G95" s="96">
        <f t="shared" si="19"/>
        <v>103.27500000000003</v>
      </c>
      <c r="H95" s="96">
        <f t="shared" si="19"/>
        <v>109.35000000000002</v>
      </c>
    </row>
    <row r="96" spans="1:8">
      <c r="A96" s="95" t="s">
        <v>142</v>
      </c>
      <c r="B96" s="96">
        <f t="shared" ref="B96:H96" si="20">B47*20%</f>
        <v>18.225000000000001</v>
      </c>
      <c r="C96" s="96">
        <f t="shared" si="20"/>
        <v>19.743750000000002</v>
      </c>
      <c r="D96" s="96">
        <f t="shared" si="20"/>
        <v>21.262500000000003</v>
      </c>
      <c r="E96" s="96">
        <f t="shared" si="20"/>
        <v>22.781250000000004</v>
      </c>
      <c r="F96" s="96">
        <f t="shared" si="20"/>
        <v>24.300000000000008</v>
      </c>
      <c r="G96" s="96">
        <f t="shared" si="20"/>
        <v>25.818750000000009</v>
      </c>
      <c r="H96" s="96">
        <f t="shared" si="20"/>
        <v>27.337500000000006</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6"/>
      <c r="B122" s="310"/>
      <c r="C122" s="310"/>
      <c r="D122" s="310"/>
      <c r="E122" s="310"/>
      <c r="F122" s="310"/>
      <c r="G122" s="310"/>
      <c r="H122" s="310"/>
    </row>
    <row r="123" spans="1:8">
      <c r="A123" s="186"/>
      <c r="B123" s="310"/>
      <c r="C123" s="310"/>
      <c r="D123" s="310"/>
      <c r="E123" s="310"/>
      <c r="F123" s="310"/>
      <c r="G123" s="310"/>
      <c r="H123" s="310"/>
    </row>
    <row r="124" spans="1:8">
      <c r="A124" s="187" t="s">
        <v>458</v>
      </c>
      <c r="B124">
        <v>50</v>
      </c>
    </row>
    <row r="131" spans="1:10" ht="18.75">
      <c r="A131" s="421" t="s">
        <v>602</v>
      </c>
      <c r="B131" s="421"/>
      <c r="C131" s="421"/>
      <c r="D131" s="421"/>
      <c r="E131" s="421"/>
      <c r="F131" s="421"/>
      <c r="G131" s="421"/>
      <c r="H131" s="421"/>
      <c r="I131" s="421"/>
      <c r="J131" s="421"/>
    </row>
    <row r="132" spans="1:10">
      <c r="A132" s="60"/>
      <c r="B132" s="62"/>
      <c r="C132" s="62"/>
      <c r="D132" s="60"/>
      <c r="E132" s="60"/>
      <c r="F132" s="60"/>
      <c r="G132" s="60"/>
      <c r="H132" s="60"/>
    </row>
    <row r="133" spans="1:10">
      <c r="A133" s="192"/>
      <c r="B133" s="192"/>
      <c r="C133" s="192"/>
      <c r="D133" s="193">
        <v>1</v>
      </c>
      <c r="E133" s="194">
        <f>(D133*5%)+D133</f>
        <v>1.05</v>
      </c>
      <c r="F133" s="194">
        <f t="shared" ref="F133:J133" si="21">(E133*5%)+E133</f>
        <v>1.1025</v>
      </c>
      <c r="G133" s="194">
        <f t="shared" si="21"/>
        <v>1.1576250000000001</v>
      </c>
      <c r="H133" s="194">
        <f t="shared" si="21"/>
        <v>1.2155062500000002</v>
      </c>
      <c r="I133" s="194">
        <f t="shared" si="21"/>
        <v>1.2762815625000004</v>
      </c>
      <c r="J133" s="194">
        <f t="shared" si="21"/>
        <v>1.3400956406250004</v>
      </c>
    </row>
    <row r="134" spans="1:10">
      <c r="A134" s="94"/>
      <c r="B134" s="94"/>
      <c r="C134" s="94"/>
      <c r="D134" s="94"/>
      <c r="E134" s="94"/>
      <c r="F134" s="94"/>
      <c r="G134" s="94"/>
      <c r="H134" s="94"/>
      <c r="I134" s="94"/>
      <c r="J134" s="94"/>
    </row>
    <row r="135" spans="1:10">
      <c r="A135" s="148" t="s">
        <v>0</v>
      </c>
      <c r="B135" s="148" t="s">
        <v>133</v>
      </c>
      <c r="C135" s="148" t="s">
        <v>154</v>
      </c>
      <c r="D135" s="120" t="s">
        <v>2</v>
      </c>
      <c r="E135" s="120" t="s">
        <v>3</v>
      </c>
      <c r="F135" s="120" t="s">
        <v>4</v>
      </c>
      <c r="G135" s="120" t="s">
        <v>5</v>
      </c>
      <c r="H135" s="120" t="s">
        <v>6</v>
      </c>
      <c r="I135" s="120" t="s">
        <v>171</v>
      </c>
      <c r="J135" s="120" t="s">
        <v>170</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322</v>
      </c>
      <c r="B138" s="97"/>
      <c r="C138" s="97"/>
      <c r="D138" s="95"/>
      <c r="E138" s="95"/>
      <c r="F138" s="95"/>
      <c r="G138" s="95"/>
      <c r="H138" s="95"/>
      <c r="I138" s="95"/>
      <c r="J138" s="95"/>
    </row>
    <row r="139" spans="1:10">
      <c r="A139" s="95" t="s">
        <v>165</v>
      </c>
      <c r="B139" s="233" t="s">
        <v>368</v>
      </c>
      <c r="C139" s="233">
        <f>70*50</f>
        <v>3500</v>
      </c>
      <c r="D139" s="96">
        <f>(((B95*100)*(1-'5.Closing Stock &amp; W Capital'!$D$17))/$B$124)*$C$139*D133</f>
        <v>484785.00000000006</v>
      </c>
      <c r="E139" s="96">
        <f>E133*((((C95*100)*(1-'5.Closing Stock &amp; W Capital'!$D$17))+((B95*100)*'5.Closing Stock &amp; W Capital'!$D$17))/$B$124)*$C$139</f>
        <v>578233.68750000012</v>
      </c>
      <c r="F139" s="96">
        <f>F133*((((D95*100)*(1-'5.Closing Stock &amp; W Capital'!$D$17))+((C95*100)*'5.Closing Stock &amp; W Capital'!$D$17))/$B$124)*$C$139</f>
        <v>654029.18437500019</v>
      </c>
      <c r="G139" s="96">
        <f>G133*((((E95*100)*(1-'5.Closing Stock &amp; W Capital'!$D$17))+((D95*100)*'5.Closing Stock &amp; W Capital'!$D$17))/$B$124)*$C$139</f>
        <v>735958.64671875024</v>
      </c>
      <c r="H139" s="96">
        <f>H133*((((F95*100)*(1-'5.Closing Stock &amp; W Capital'!$D$17))+((E95*100)*'5.Closing Stock &amp; W Capital'!$D$17))/$B$124)*$C$139</f>
        <v>824445.98233593791</v>
      </c>
      <c r="I139" s="96">
        <f>I133*((((G95*100)*(1-'5.Closing Stock &amp; W Capital'!$D$17))+((F95*100)*'5.Closing Stock &amp; W Capital'!$D$17))/$B$124)*$C$139</f>
        <v>919942.15489804745</v>
      </c>
      <c r="J139" s="96">
        <f>J133*((((H95*100)*(1-'5.Closing Stock &amp; W Capital'!$D$17))+((G95*100)*'5.Closing Stock &amp; W Capital'!$D$17))/$B$124)*$C$139</f>
        <v>1022926.8297605278</v>
      </c>
    </row>
    <row r="140" spans="1:10">
      <c r="A140" s="95" t="s">
        <v>166</v>
      </c>
      <c r="B140" s="233" t="s">
        <v>368</v>
      </c>
      <c r="C140" s="233">
        <f>75*50</f>
        <v>3750</v>
      </c>
      <c r="D140" s="96">
        <f>(((B63*100)*(1-'5.Closing Stock &amp; W Capital'!$D$17))/B124)*$C$140*D133</f>
        <v>1023434.9999999998</v>
      </c>
      <c r="E140" s="96">
        <f>((((C63*100)*(1-'5.Closing Stock &amp; W Capital'!$D$17))+((B63*100)*'5.Closing Stock &amp; W Capital'!$D$17))/$B$124)*$C$140*E133</f>
        <v>1220715.5625</v>
      </c>
      <c r="F140" s="96">
        <f>((((D63*100)*(1-'5.Closing Stock &amp; W Capital'!$D$17))+((C63*100)*'5.Closing Stock &amp; W Capital'!$D$17))/$B$124)*$C$140*F133</f>
        <v>1380728.278125</v>
      </c>
      <c r="G140" s="96">
        <f>((((E63*100)*(1-'5.Closing Stock &amp; W Capital'!$D$17))+((D63*100)*'5.Closing Stock &amp; W Capital'!$D$17))/$B$124)*$C$140*G133</f>
        <v>1553690.4764062504</v>
      </c>
      <c r="H140" s="96">
        <f>((((F63*100)*(1-'5.Closing Stock &amp; W Capital'!$D$17))+((E63*100)*'5.Closing Stock &amp; W Capital'!$D$17))/$B$124)*$C$140*H133</f>
        <v>1740497.0738203127</v>
      </c>
      <c r="I140" s="96">
        <f>((((G63*100)*(1-'5.Closing Stock &amp; W Capital'!$D$17))+((F63*100)*'5.Closing Stock &amp; W Capital'!$D$17))/$B$124)*$C$140*I133</f>
        <v>1942100.1047847667</v>
      </c>
      <c r="J140" s="96">
        <f>((((H63*100)*(1-'5.Closing Stock &amp; W Capital'!$D$17))+((G63*100)*'5.Closing Stock &amp; W Capital'!$D$17))/$B$124)*$C$140*J133</f>
        <v>2159512.1961611141</v>
      </c>
    </row>
    <row r="141" spans="1:10">
      <c r="A141" s="95" t="s">
        <v>323</v>
      </c>
      <c r="B141" s="233" t="s">
        <v>368</v>
      </c>
      <c r="C141" s="233">
        <f>80*50</f>
        <v>4000</v>
      </c>
      <c r="D141" s="96">
        <f>(((B78*100)*(1-'5.Closing Stock &amp; W Capital'!D17))/$B$124)*$C$141*D133</f>
        <v>1551312</v>
      </c>
      <c r="E141" s="96">
        <f>((((C78*100)*(1-'5.Closing Stock &amp; W Capital'!$D$17))+((B78*100)*'5.Closing Stock &amp; W Capital'!$D$17))/$B$124)*$C$141*E133</f>
        <v>1850347.8</v>
      </c>
      <c r="F141" s="96">
        <f>((((D78*100)*(1-'5.Closing Stock &amp; W Capital'!$D$17))+((C78*100)*'5.Closing Stock &amp; W Capital'!$D$17))/$B$124)*$C$141*F133</f>
        <v>2092893.3900000001</v>
      </c>
      <c r="G141" s="96">
        <f>((((E78*100)*(1-'5.Closing Stock &amp; W Capital'!$D$17))+((D78*100)*'5.Closing Stock &amp; W Capital'!$D$17))/$B$124)*$C$141*G133</f>
        <v>2355067.6695000012</v>
      </c>
      <c r="H141" s="96">
        <f>((((F78*100)*(1-'5.Closing Stock &amp; W Capital'!$D$17))+((E78*100)*'5.Closing Stock &amp; W Capital'!$D$17))/$B$124)*$C$141*H133</f>
        <v>2638227.1434750003</v>
      </c>
      <c r="I141" s="96">
        <f>((((G78*100)*(1-'5.Closing Stock &amp; W Capital'!$D$17))+((F78*100)*'5.Closing Stock &amp; W Capital'!$D$17))/$B$124)*$C$141*I133</f>
        <v>2943814.8956737514</v>
      </c>
      <c r="J141" s="96">
        <f>((((H78*100)*(1-'5.Closing Stock &amp; W Capital'!$D$17))+((G78*100)*'5.Closing Stock &amp; W Capital'!$D$17))/$B$124)*$C$141*J133</f>
        <v>3273365.8552336893</v>
      </c>
    </row>
    <row r="142" spans="1:10">
      <c r="A142" s="95" t="s">
        <v>321</v>
      </c>
      <c r="B142" s="233" t="s">
        <v>368</v>
      </c>
      <c r="C142" s="233">
        <f>80*50</f>
        <v>4000</v>
      </c>
      <c r="D142" s="96">
        <f>(((B70*100)*(1-'5.Closing Stock &amp; W Capital'!D17))/B124)*$C$142*D133</f>
        <v>1970740.7999999998</v>
      </c>
      <c r="E142" s="96">
        <f>((((C70*100)*(1-'5.Closing Stock &amp; W Capital'!$D$17))+((B70*100)*'5.Closing Stock &amp; W Capital'!$D$17))/$B$124)*$C$142*E133</f>
        <v>2350627.0200000005</v>
      </c>
      <c r="F142" s="96">
        <f>((((D70*100)*(1-'5.Closing Stock &amp; W Capital'!$D$17))+((C70*100)*'5.Closing Stock &amp; W Capital'!$D$17))/$B$124)*$C$142*F133</f>
        <v>2658749.7510000006</v>
      </c>
      <c r="G142" s="96">
        <f>((((E70*100)*(1-'5.Closing Stock &amp; W Capital'!$D$17))+((D70*100)*'5.Closing Stock &amp; W Capital'!$D$17))/$B$124)*$C$142*G133</f>
        <v>2991808.1875500008</v>
      </c>
      <c r="H142" s="96">
        <f>((((F70*100)*(1-'5.Closing Stock &amp; W Capital'!$D$17))+((E70*100)*'5.Closing Stock &amp; W Capital'!$D$17))/$B$124)*$C$142*H133</f>
        <v>3351525.5933775022</v>
      </c>
      <c r="I142" s="96">
        <f>((((G70*100)*(1-'5.Closing Stock &amp; W Capital'!$D$17))+((F70*100)*'5.Closing Stock &amp; W Capital'!$D$17))/$B$124)*$C$142*I133</f>
        <v>3739735.2193188779</v>
      </c>
      <c r="J142" s="96">
        <f>((((H70*100)*(1-'5.Closing Stock &amp; W Capital'!$D$17))+((G70*100)*'5.Closing Stock &amp; W Capital'!$D$17))/$B$124)*$C$142*J133</f>
        <v>4158386.9938709461</v>
      </c>
    </row>
    <row r="143" spans="1:10">
      <c r="A143" s="95"/>
      <c r="B143" s="95"/>
      <c r="C143" s="95"/>
      <c r="D143" s="96"/>
      <c r="E143" s="96"/>
      <c r="F143" s="96"/>
      <c r="G143" s="96"/>
      <c r="H143" s="96"/>
      <c r="I143" s="96"/>
      <c r="J143" s="96"/>
    </row>
    <row r="144" spans="1:10">
      <c r="A144" s="97" t="s">
        <v>142</v>
      </c>
      <c r="B144" s="238" t="s">
        <v>369</v>
      </c>
      <c r="C144" s="238">
        <v>10</v>
      </c>
      <c r="D144" s="96">
        <f t="shared" ref="D144:J144" si="22">((B63+B95+B78+B70)*100)*$C$144*D133</f>
        <v>679968</v>
      </c>
      <c r="E144" s="96">
        <f t="shared" si="22"/>
        <v>773463.60000000021</v>
      </c>
      <c r="F144" s="96">
        <f t="shared" si="22"/>
        <v>874608.84000000008</v>
      </c>
      <c r="G144" s="96">
        <f t="shared" si="22"/>
        <v>983934.94500000041</v>
      </c>
      <c r="H144" s="96">
        <f t="shared" si="22"/>
        <v>1102007.1384000005</v>
      </c>
      <c r="I144" s="96">
        <f t="shared" si="22"/>
        <v>1229426.7137775007</v>
      </c>
      <c r="J144" s="96">
        <f t="shared" si="22"/>
        <v>1366833.2288467507</v>
      </c>
    </row>
    <row r="145" spans="1:11">
      <c r="A145" s="95"/>
      <c r="B145" s="233"/>
      <c r="C145" s="233"/>
      <c r="D145" s="96"/>
      <c r="E145" s="96"/>
      <c r="F145" s="96"/>
      <c r="G145" s="96"/>
      <c r="H145" s="96"/>
      <c r="I145" s="96"/>
      <c r="J145" s="96"/>
      <c r="K145" s="63">
        <f>[2]Output!T58*70*K133</f>
        <v>0</v>
      </c>
    </row>
    <row r="146" spans="1:11">
      <c r="A146" s="97" t="s">
        <v>298</v>
      </c>
      <c r="B146" s="238" t="s">
        <v>369</v>
      </c>
      <c r="C146" s="233">
        <v>6</v>
      </c>
      <c r="D146" s="96">
        <f t="shared" ref="D146:J146" si="23">(B35*100)*$C$146*D133</f>
        <v>509975.99999999988</v>
      </c>
      <c r="E146" s="96">
        <f t="shared" si="23"/>
        <v>580097.70000000019</v>
      </c>
      <c r="F146" s="96">
        <f t="shared" si="23"/>
        <v>655956.63000000012</v>
      </c>
      <c r="G146" s="96">
        <f t="shared" si="23"/>
        <v>737951.20875000034</v>
      </c>
      <c r="H146" s="96">
        <f t="shared" si="23"/>
        <v>826505.35380000027</v>
      </c>
      <c r="I146" s="96">
        <f t="shared" si="23"/>
        <v>922070.0353331255</v>
      </c>
      <c r="J146" s="96">
        <f t="shared" si="23"/>
        <v>1025124.9216350631</v>
      </c>
    </row>
    <row r="147" spans="1:11">
      <c r="A147" s="95"/>
      <c r="B147" s="95"/>
      <c r="C147" s="95"/>
      <c r="D147" s="96"/>
      <c r="E147" s="96"/>
      <c r="F147" s="96"/>
      <c r="G147" s="96"/>
      <c r="H147" s="96"/>
      <c r="I147" s="96"/>
      <c r="J147" s="96"/>
    </row>
    <row r="148" spans="1:11">
      <c r="A148" s="97" t="s">
        <v>127</v>
      </c>
      <c r="B148" s="97"/>
      <c r="C148" s="97"/>
      <c r="D148" s="115">
        <f>SUM(D139:D146)</f>
        <v>6220216.7999999998</v>
      </c>
      <c r="E148" s="115">
        <f t="shared" ref="E148:J148" si="24">SUM(E139:E146)</f>
        <v>7353485.370000001</v>
      </c>
      <c r="F148" s="115">
        <f t="shared" si="24"/>
        <v>8316966.0735000009</v>
      </c>
      <c r="G148" s="115">
        <f t="shared" si="24"/>
        <v>9358411.1339250039</v>
      </c>
      <c r="H148" s="115">
        <f t="shared" si="24"/>
        <v>10483208.285208756</v>
      </c>
      <c r="I148" s="115">
        <f t="shared" si="24"/>
        <v>11697089.123786069</v>
      </c>
      <c r="J148" s="115">
        <f t="shared" si="24"/>
        <v>13006150.025508091</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316</v>
      </c>
      <c r="B151" s="97"/>
      <c r="C151" s="95"/>
      <c r="D151" s="96"/>
      <c r="E151" s="96"/>
      <c r="F151" s="96"/>
      <c r="G151" s="96"/>
      <c r="H151" s="96"/>
      <c r="I151" s="96"/>
      <c r="J151" s="96"/>
    </row>
    <row r="152" spans="1:11">
      <c r="A152" s="99" t="s">
        <v>165</v>
      </c>
      <c r="B152" s="233" t="s">
        <v>370</v>
      </c>
      <c r="C152" s="257">
        <v>4800</v>
      </c>
      <c r="D152" s="96">
        <f t="shared" ref="D152:J152" si="25">(B47)*$C$152*D133</f>
        <v>437400</v>
      </c>
      <c r="E152" s="96">
        <f t="shared" si="25"/>
        <v>497542.5</v>
      </c>
      <c r="F152" s="96">
        <f t="shared" si="25"/>
        <v>562605.75000000012</v>
      </c>
      <c r="G152" s="96">
        <f t="shared" si="25"/>
        <v>632931.46875000023</v>
      </c>
      <c r="H152" s="96">
        <f t="shared" si="25"/>
        <v>708883.24500000023</v>
      </c>
      <c r="I152" s="96">
        <f t="shared" si="25"/>
        <v>790847.87020312541</v>
      </c>
      <c r="J152" s="96">
        <f t="shared" si="25"/>
        <v>879236.74981406296</v>
      </c>
    </row>
    <row r="153" spans="1:11">
      <c r="A153" s="95" t="s">
        <v>324</v>
      </c>
      <c r="B153" s="233" t="s">
        <v>370</v>
      </c>
      <c r="C153" s="257">
        <v>5800</v>
      </c>
      <c r="D153" s="96">
        <f t="shared" ref="D153:J153" si="26">(B38)*$C$153*D133</f>
        <v>1041389.9999999999</v>
      </c>
      <c r="E153" s="96">
        <f t="shared" si="26"/>
        <v>1184581.125</v>
      </c>
      <c r="F153" s="96">
        <f t="shared" si="26"/>
        <v>1339487.8875000002</v>
      </c>
      <c r="G153" s="96">
        <f t="shared" si="26"/>
        <v>1506923.8734375003</v>
      </c>
      <c r="H153" s="96">
        <f t="shared" si="26"/>
        <v>1687754.7382500006</v>
      </c>
      <c r="I153" s="96">
        <f t="shared" si="26"/>
        <v>1882901.3798601574</v>
      </c>
      <c r="J153" s="96">
        <f t="shared" si="26"/>
        <v>2093343.2987857042</v>
      </c>
    </row>
    <row r="154" spans="1:11">
      <c r="A154" s="95" t="s">
        <v>325</v>
      </c>
      <c r="B154" s="233" t="s">
        <v>370</v>
      </c>
      <c r="C154" s="257">
        <v>5800</v>
      </c>
      <c r="D154" s="96">
        <f t="shared" ref="D154:J154" si="27">(B42)*$C$154*D133</f>
        <v>1479869.9999999998</v>
      </c>
      <c r="E154" s="96">
        <f t="shared" si="27"/>
        <v>1683352.1250000002</v>
      </c>
      <c r="F154" s="96">
        <f t="shared" si="27"/>
        <v>1903482.7875000001</v>
      </c>
      <c r="G154" s="96">
        <f t="shared" si="27"/>
        <v>2141418.1359375003</v>
      </c>
      <c r="H154" s="96">
        <f t="shared" si="27"/>
        <v>2398388.3122500009</v>
      </c>
      <c r="I154" s="96">
        <f t="shared" si="27"/>
        <v>2675701.9608539077</v>
      </c>
      <c r="J154" s="96">
        <f t="shared" si="27"/>
        <v>2974751.0035375799</v>
      </c>
    </row>
    <row r="155" spans="1:11">
      <c r="A155" s="95" t="s">
        <v>321</v>
      </c>
      <c r="B155" s="233" t="s">
        <v>370</v>
      </c>
      <c r="C155" s="257">
        <v>6200</v>
      </c>
      <c r="D155" s="96">
        <f t="shared" ref="D155:J155" si="28">(B40)*$C$155*D133</f>
        <v>2009637</v>
      </c>
      <c r="E155" s="96">
        <f t="shared" si="28"/>
        <v>2285962.0874999999</v>
      </c>
      <c r="F155" s="96">
        <f t="shared" si="28"/>
        <v>2584895.5912500001</v>
      </c>
      <c r="G155" s="96">
        <f t="shared" si="28"/>
        <v>2908007.5401562508</v>
      </c>
      <c r="H155" s="96">
        <f t="shared" si="28"/>
        <v>3256968.4449750017</v>
      </c>
      <c r="I155" s="96">
        <f t="shared" si="28"/>
        <v>3633555.4214252364</v>
      </c>
      <c r="J155" s="96">
        <f t="shared" si="28"/>
        <v>4039658.6744080572</v>
      </c>
    </row>
    <row r="156" spans="1:11">
      <c r="A156" s="95" t="s">
        <v>371</v>
      </c>
      <c r="B156" s="233">
        <v>2</v>
      </c>
      <c r="C156" s="233">
        <v>100</v>
      </c>
      <c r="D156" s="96">
        <f t="shared" ref="D156:J156" si="29">(B32/10)*$B$156*$C$156*D133</f>
        <v>33998.400000000001</v>
      </c>
      <c r="E156" s="96">
        <f t="shared" si="29"/>
        <v>38673.180000000008</v>
      </c>
      <c r="F156" s="96">
        <f t="shared" si="29"/>
        <v>43730.442000000003</v>
      </c>
      <c r="G156" s="96">
        <f t="shared" si="29"/>
        <v>49196.747250000022</v>
      </c>
      <c r="H156" s="96">
        <f t="shared" si="29"/>
        <v>55100.356920000013</v>
      </c>
      <c r="I156" s="96">
        <f t="shared" si="29"/>
        <v>61471.335688875028</v>
      </c>
      <c r="J156" s="96">
        <f t="shared" si="29"/>
        <v>68341.661442337543</v>
      </c>
    </row>
    <row r="157" spans="1:11">
      <c r="A157" s="95" t="s">
        <v>326</v>
      </c>
      <c r="B157" s="233">
        <v>3</v>
      </c>
      <c r="C157" s="233">
        <v>300</v>
      </c>
      <c r="D157" s="96">
        <f t="shared" ref="D157:J157" si="30">B12*$B$157*$C$157*D133</f>
        <v>270000</v>
      </c>
      <c r="E157" s="96">
        <f t="shared" si="30"/>
        <v>283500</v>
      </c>
      <c r="F157" s="96">
        <f t="shared" si="30"/>
        <v>297675</v>
      </c>
      <c r="G157" s="96">
        <f t="shared" si="30"/>
        <v>312558.75000000006</v>
      </c>
      <c r="H157" s="96">
        <f t="shared" si="30"/>
        <v>328186.68750000006</v>
      </c>
      <c r="I157" s="96">
        <f t="shared" si="30"/>
        <v>344596.02187500009</v>
      </c>
      <c r="J157" s="96">
        <f t="shared" si="30"/>
        <v>361825.82296875009</v>
      </c>
    </row>
    <row r="158" spans="1:11">
      <c r="A158" s="95" t="s">
        <v>145</v>
      </c>
      <c r="B158" s="95">
        <f>'2.Capex Details'!H44*0.746*8</f>
        <v>0</v>
      </c>
      <c r="C158" s="233">
        <v>8</v>
      </c>
      <c r="D158" s="96">
        <f t="shared" ref="D158:J158" si="31">$B$158*$C$158*B12*D133</f>
        <v>0</v>
      </c>
      <c r="E158" s="96">
        <f t="shared" si="31"/>
        <v>0</v>
      </c>
      <c r="F158" s="96">
        <f t="shared" si="31"/>
        <v>0</v>
      </c>
      <c r="G158" s="96">
        <f t="shared" si="31"/>
        <v>0</v>
      </c>
      <c r="H158" s="96">
        <f t="shared" si="31"/>
        <v>0</v>
      </c>
      <c r="I158" s="96">
        <f t="shared" si="31"/>
        <v>0</v>
      </c>
      <c r="J158" s="96">
        <f t="shared" si="31"/>
        <v>0</v>
      </c>
    </row>
    <row r="159" spans="1:11">
      <c r="A159" s="95" t="s">
        <v>299</v>
      </c>
      <c r="B159" s="95"/>
      <c r="C159" s="233">
        <v>10</v>
      </c>
      <c r="D159" s="96">
        <f t="shared" ref="D159:J159" si="32">((B35*100)/50)*$C$159*D133</f>
        <v>16999.199999999997</v>
      </c>
      <c r="E159" s="96">
        <f t="shared" si="32"/>
        <v>19336.590000000004</v>
      </c>
      <c r="F159" s="96">
        <f t="shared" si="32"/>
        <v>21865.221000000001</v>
      </c>
      <c r="G159" s="96">
        <f t="shared" si="32"/>
        <v>24598.373625000011</v>
      </c>
      <c r="H159" s="96">
        <f t="shared" si="32"/>
        <v>27550.178460000014</v>
      </c>
      <c r="I159" s="96">
        <f t="shared" si="32"/>
        <v>30735.667844437517</v>
      </c>
      <c r="J159" s="96">
        <f t="shared" si="32"/>
        <v>34170.830721168772</v>
      </c>
    </row>
    <row r="160" spans="1:11">
      <c r="A160" s="109" t="s">
        <v>300</v>
      </c>
      <c r="B160" s="109"/>
      <c r="C160" s="259">
        <v>20</v>
      </c>
      <c r="D160" s="96">
        <f t="shared" ref="D160:J160" si="33">(((B78+B69+B95+B63)*100)/50)*$C$160*D133</f>
        <v>16826.400000000001</v>
      </c>
      <c r="E160" s="96">
        <f t="shared" si="33"/>
        <v>19140.03</v>
      </c>
      <c r="F160" s="96">
        <f t="shared" si="33"/>
        <v>21642.957000000002</v>
      </c>
      <c r="G160" s="96">
        <f t="shared" si="33"/>
        <v>24348.326625000012</v>
      </c>
      <c r="H160" s="96">
        <f t="shared" si="33"/>
        <v>27270.125820000012</v>
      </c>
      <c r="I160" s="96">
        <f t="shared" si="33"/>
        <v>30423.234117937518</v>
      </c>
      <c r="J160" s="96">
        <f t="shared" si="33"/>
        <v>33823.477931118767</v>
      </c>
    </row>
    <row r="161" spans="1:10">
      <c r="A161" s="95" t="s">
        <v>301</v>
      </c>
      <c r="B161" s="95"/>
      <c r="C161" s="233">
        <v>100</v>
      </c>
      <c r="D161" s="96">
        <f t="shared" ref="D161:J161" si="34">(((B78+B69+B95+B63)*100)/50)*$C$161*D133</f>
        <v>84132</v>
      </c>
      <c r="E161" s="96">
        <f t="shared" si="34"/>
        <v>95700.150000000009</v>
      </c>
      <c r="F161" s="96">
        <f t="shared" si="34"/>
        <v>108214.78500000002</v>
      </c>
      <c r="G161" s="96">
        <f t="shared" si="34"/>
        <v>121741.63312500005</v>
      </c>
      <c r="H161" s="96">
        <f t="shared" si="34"/>
        <v>136350.62910000005</v>
      </c>
      <c r="I161" s="96">
        <f t="shared" si="34"/>
        <v>152116.17058968759</v>
      </c>
      <c r="J161" s="96">
        <f t="shared" si="34"/>
        <v>169117.38965559384</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5" t="s">
        <v>349</v>
      </c>
      <c r="B166" s="96"/>
      <c r="C166" s="96"/>
      <c r="D166" s="96"/>
      <c r="E166" s="96">
        <f>'5.Closing Stock &amp; W Capital'!F8</f>
        <v>265306.05000000005</v>
      </c>
      <c r="F166" s="96">
        <f>'5.Closing Stock &amp; W Capital'!G8</f>
        <v>300604.38187500002</v>
      </c>
      <c r="G166" s="96">
        <f>'5.Closing Stock &amp; W Capital'!H8</f>
        <v>338769.28181250003</v>
      </c>
      <c r="H166" s="96">
        <f>'5.Closing Stock &amp; W Capital'!I8</f>
        <v>379999.16078906256</v>
      </c>
      <c r="I166" s="96">
        <f>'5.Closing Stock &amp; W Capital'!J8</f>
        <v>424505.10445875023</v>
      </c>
      <c r="J166" s="96">
        <f>'5.Closing Stock &amp; W Capital'!K8</f>
        <v>472511.64459343388</v>
      </c>
    </row>
    <row r="167" spans="1:10">
      <c r="A167" s="195" t="s">
        <v>350</v>
      </c>
      <c r="B167" s="96"/>
      <c r="C167" s="96"/>
      <c r="D167" s="96">
        <f>'5.Closing Stock &amp; W Capital'!E17</f>
        <v>265306.05000000005</v>
      </c>
      <c r="E167" s="96">
        <f>'5.Closing Stock &amp; W Capital'!F17</f>
        <v>300604.38187500002</v>
      </c>
      <c r="F167" s="96">
        <f>'5.Closing Stock &amp; W Capital'!G17</f>
        <v>338769.28181250003</v>
      </c>
      <c r="G167" s="96">
        <f>'5.Closing Stock &amp; W Capital'!H17</f>
        <v>379999.16078906256</v>
      </c>
      <c r="H167" s="96">
        <f>'5.Closing Stock &amp; W Capital'!I17</f>
        <v>424505.10445875023</v>
      </c>
      <c r="I167" s="96">
        <f>'5.Closing Stock &amp; W Capital'!J17</f>
        <v>472511.64459343388</v>
      </c>
      <c r="J167" s="96">
        <f>'5.Closing Stock &amp; W Capital'!K17</f>
        <v>524257.57598043897</v>
      </c>
    </row>
    <row r="168" spans="1:10">
      <c r="A168" s="96"/>
      <c r="B168" s="96"/>
      <c r="C168" s="96"/>
      <c r="D168" s="96"/>
      <c r="E168" s="96"/>
      <c r="F168" s="96"/>
      <c r="G168" s="96"/>
      <c r="H168" s="96"/>
      <c r="I168" s="96"/>
      <c r="J168" s="96"/>
    </row>
    <row r="169" spans="1:10">
      <c r="A169" s="115" t="s">
        <v>327</v>
      </c>
      <c r="B169" s="96"/>
      <c r="C169" s="96"/>
      <c r="D169" s="115">
        <f>SUM(D152:D166)-D167</f>
        <v>5124946.9500000011</v>
      </c>
      <c r="E169" s="115">
        <f>SUM(E152:E166)-E167</f>
        <v>6072489.4556250004</v>
      </c>
      <c r="F169" s="115">
        <f t="shared" ref="F169:J169" si="35">SUM(F152:F166)-F167</f>
        <v>6845435.5213125004</v>
      </c>
      <c r="G169" s="115">
        <f t="shared" si="35"/>
        <v>7680494.9699296886</v>
      </c>
      <c r="H169" s="115">
        <f t="shared" si="35"/>
        <v>8581946.7746053189</v>
      </c>
      <c r="I169" s="115">
        <f t="shared" si="35"/>
        <v>9554342.522323681</v>
      </c>
      <c r="J169" s="115">
        <f t="shared" si="35"/>
        <v>10602522.977877367</v>
      </c>
    </row>
    <row r="170" spans="1:10">
      <c r="A170" s="94"/>
      <c r="B170" s="94"/>
      <c r="C170" s="94"/>
      <c r="D170" s="94"/>
      <c r="E170" s="94"/>
      <c r="F170" s="94"/>
      <c r="G170" s="94"/>
      <c r="H170" s="94"/>
      <c r="I170" s="94"/>
      <c r="J170" s="94"/>
    </row>
    <row r="171" spans="1:10">
      <c r="A171" s="196" t="s">
        <v>314</v>
      </c>
      <c r="B171" s="196"/>
      <c r="C171" s="196"/>
      <c r="D171" s="115"/>
      <c r="E171" s="115"/>
      <c r="F171" s="115"/>
      <c r="G171" s="115"/>
      <c r="H171" s="115"/>
      <c r="I171" s="115"/>
      <c r="J171" s="115"/>
    </row>
    <row r="172" spans="1:10">
      <c r="A172" s="95" t="s">
        <v>190</v>
      </c>
      <c r="B172" s="233">
        <v>2</v>
      </c>
      <c r="C172" s="257">
        <v>0</v>
      </c>
      <c r="D172" s="96">
        <f t="shared" ref="D172:J172" si="36">$B$172*$C$172*12*D133</f>
        <v>0</v>
      </c>
      <c r="E172" s="96">
        <f t="shared" si="36"/>
        <v>0</v>
      </c>
      <c r="F172" s="96">
        <f t="shared" si="36"/>
        <v>0</v>
      </c>
      <c r="G172" s="96">
        <f t="shared" si="36"/>
        <v>0</v>
      </c>
      <c r="H172" s="96">
        <f t="shared" si="36"/>
        <v>0</v>
      </c>
      <c r="I172" s="96">
        <f t="shared" si="36"/>
        <v>0</v>
      </c>
      <c r="J172" s="96">
        <f t="shared" si="36"/>
        <v>0</v>
      </c>
    </row>
    <row r="173" spans="1:10">
      <c r="A173" s="95"/>
      <c r="B173" s="233"/>
      <c r="C173" s="257"/>
      <c r="D173" s="96"/>
      <c r="E173" s="96"/>
      <c r="F173" s="96"/>
      <c r="G173" s="96"/>
      <c r="H173" s="96"/>
      <c r="I173" s="96"/>
      <c r="J173" s="96"/>
    </row>
    <row r="174" spans="1:10">
      <c r="A174" s="95"/>
      <c r="B174" s="233"/>
      <c r="C174" s="257"/>
      <c r="D174" s="96"/>
      <c r="E174" s="96"/>
      <c r="F174" s="96"/>
      <c r="G174" s="96"/>
      <c r="H174" s="96"/>
      <c r="I174" s="96"/>
      <c r="J174" s="96"/>
    </row>
    <row r="175" spans="1:10">
      <c r="A175" s="95"/>
      <c r="B175" s="233"/>
      <c r="C175" s="257"/>
      <c r="D175" s="96"/>
      <c r="E175" s="96"/>
      <c r="F175" s="96"/>
      <c r="G175" s="96"/>
      <c r="H175" s="96"/>
      <c r="I175" s="96"/>
      <c r="J175" s="96"/>
    </row>
    <row r="176" spans="1:10">
      <c r="A176" s="95"/>
      <c r="B176" s="233"/>
      <c r="C176" s="257"/>
      <c r="D176" s="96"/>
      <c r="E176" s="96"/>
      <c r="F176" s="96"/>
      <c r="G176" s="96"/>
      <c r="H176" s="96"/>
      <c r="I176" s="96"/>
      <c r="J176" s="96"/>
    </row>
    <row r="177" spans="1:10">
      <c r="A177" s="97" t="s">
        <v>314</v>
      </c>
      <c r="B177" s="97"/>
      <c r="C177" s="97"/>
      <c r="D177" s="115">
        <f t="shared" ref="D177:J177" si="37">SUM(D172:D176)</f>
        <v>0</v>
      </c>
      <c r="E177" s="115">
        <f t="shared" si="37"/>
        <v>0</v>
      </c>
      <c r="F177" s="115">
        <f t="shared" si="37"/>
        <v>0</v>
      </c>
      <c r="G177" s="115">
        <f t="shared" si="37"/>
        <v>0</v>
      </c>
      <c r="H177" s="115">
        <f t="shared" si="37"/>
        <v>0</v>
      </c>
      <c r="I177" s="115">
        <f t="shared" si="37"/>
        <v>0</v>
      </c>
      <c r="J177" s="115">
        <f t="shared" si="37"/>
        <v>0</v>
      </c>
    </row>
    <row r="178" spans="1:10">
      <c r="A178" s="196" t="s">
        <v>302</v>
      </c>
      <c r="B178" s="196"/>
      <c r="C178" s="196"/>
      <c r="D178" s="115">
        <f t="shared" ref="D178:J178" si="38">D169+D177</f>
        <v>5124946.9500000011</v>
      </c>
      <c r="E178" s="115">
        <f t="shared" si="38"/>
        <v>6072489.4556250004</v>
      </c>
      <c r="F178" s="115">
        <f t="shared" si="38"/>
        <v>6845435.5213125004</v>
      </c>
      <c r="G178" s="115">
        <f t="shared" si="38"/>
        <v>7680494.9699296886</v>
      </c>
      <c r="H178" s="115">
        <f t="shared" si="38"/>
        <v>8581946.7746053189</v>
      </c>
      <c r="I178" s="115">
        <f t="shared" si="38"/>
        <v>9554342.522323681</v>
      </c>
      <c r="J178" s="115">
        <f t="shared" si="38"/>
        <v>10602522.977877367</v>
      </c>
    </row>
    <row r="179" spans="1:10">
      <c r="A179" s="95"/>
      <c r="B179" s="95"/>
      <c r="C179" s="95"/>
      <c r="D179" s="96"/>
      <c r="E179" s="96"/>
      <c r="F179" s="96"/>
      <c r="G179" s="96"/>
      <c r="H179" s="96"/>
      <c r="I179" s="96"/>
      <c r="J179" s="96"/>
    </row>
    <row r="180" spans="1:10">
      <c r="A180" s="97" t="s">
        <v>7</v>
      </c>
      <c r="B180" s="97"/>
      <c r="C180" s="97"/>
      <c r="D180" s="115">
        <f t="shared" ref="D180:J180" si="39">D148-D178</f>
        <v>1095269.8499999987</v>
      </c>
      <c r="E180" s="115">
        <f t="shared" si="39"/>
        <v>1280995.9143750006</v>
      </c>
      <c r="F180" s="115">
        <f t="shared" si="39"/>
        <v>1471530.5521875005</v>
      </c>
      <c r="G180" s="115">
        <f t="shared" si="39"/>
        <v>1677916.1639953153</v>
      </c>
      <c r="H180" s="115">
        <f t="shared" si="39"/>
        <v>1901261.5106034372</v>
      </c>
      <c r="I180" s="115">
        <f t="shared" si="39"/>
        <v>2142746.6014623884</v>
      </c>
      <c r="J180" s="115">
        <f t="shared" si="39"/>
        <v>2403627.0476307236</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22" t="s">
        <v>434</v>
      </c>
      <c r="B184" s="422"/>
      <c r="C184" s="422"/>
      <c r="D184" s="422"/>
      <c r="E184" s="422"/>
      <c r="F184" s="422"/>
      <c r="G184" s="422"/>
      <c r="H184" s="422"/>
      <c r="I184" s="422"/>
      <c r="J184" s="422"/>
    </row>
    <row r="186" spans="1:10">
      <c r="A186" t="s">
        <v>550</v>
      </c>
    </row>
    <row r="187" spans="1:10">
      <c r="A187">
        <v>1</v>
      </c>
      <c r="B187" t="s">
        <v>563</v>
      </c>
    </row>
    <row r="188" spans="1:10">
      <c r="A188">
        <v>2</v>
      </c>
      <c r="B188" t="s">
        <v>564</v>
      </c>
    </row>
    <row r="189" spans="1:10">
      <c r="A189">
        <v>3</v>
      </c>
      <c r="B189" s="94" t="s">
        <v>616</v>
      </c>
    </row>
  </sheetData>
  <mergeCells count="4">
    <mergeCell ref="A131:J131"/>
    <mergeCell ref="A3:H3"/>
    <mergeCell ref="A184:J184"/>
    <mergeCell ref="A4:H4"/>
  </mergeCells>
  <pageMargins left="0.70866141732283472" right="0.70866141732283472" top="0.74803149606299213" bottom="0.74803149606299213" header="0.31496062992125984" footer="0.31496062992125984"/>
  <pageSetup paperSize="9" scale="72" orientation="landscape" r:id="rId1"/>
  <rowBreaks count="3" manualBreakCount="3">
    <brk id="93" max="9" man="1"/>
    <brk id="126" max="9" man="1"/>
    <brk id="170"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election activeCell="B75" sqref="B75"/>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491" t="s">
        <v>603</v>
      </c>
      <c r="B2" s="491"/>
      <c r="C2" s="491"/>
      <c r="D2" s="491"/>
      <c r="E2" s="491"/>
      <c r="F2" s="491"/>
      <c r="G2" s="491"/>
      <c r="H2" s="491"/>
    </row>
    <row r="3" spans="1:10" ht="18.75">
      <c r="A3" s="491" t="s">
        <v>604</v>
      </c>
      <c r="B3" s="491"/>
      <c r="C3" s="491"/>
      <c r="D3" s="491"/>
      <c r="E3" s="491"/>
      <c r="F3" s="491"/>
      <c r="G3" s="491"/>
      <c r="H3" s="491"/>
    </row>
    <row r="4" spans="1:10">
      <c r="A4" s="187" t="s">
        <v>163</v>
      </c>
      <c r="B4" s="262">
        <v>0</v>
      </c>
      <c r="C4" s="185" t="s">
        <v>303</v>
      </c>
      <c r="D4" s="185"/>
      <c r="E4" s="185"/>
      <c r="F4" s="185"/>
      <c r="G4" s="186"/>
      <c r="H4" s="94"/>
    </row>
    <row r="5" spans="1:10">
      <c r="A5" s="187"/>
      <c r="B5" s="188"/>
      <c r="C5" s="186"/>
      <c r="D5" s="186"/>
      <c r="E5" s="186"/>
      <c r="F5" s="186"/>
      <c r="G5" s="186"/>
      <c r="H5" s="94"/>
    </row>
    <row r="6" spans="1:10">
      <c r="A6" s="187" t="s">
        <v>305</v>
      </c>
      <c r="B6" s="189">
        <v>0</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171</v>
      </c>
      <c r="H8" s="120" t="s">
        <v>170</v>
      </c>
    </row>
    <row r="9" spans="1:10">
      <c r="A9" s="95" t="s">
        <v>306</v>
      </c>
      <c r="B9" s="282">
        <v>0.8</v>
      </c>
      <c r="C9" s="282">
        <f>B9+5%</f>
        <v>0.85000000000000009</v>
      </c>
      <c r="D9" s="282">
        <f>C9+5%</f>
        <v>0.90000000000000013</v>
      </c>
      <c r="E9" s="282">
        <f>D9+5%</f>
        <v>0.95000000000000018</v>
      </c>
      <c r="F9" s="282">
        <f>E9+5%</f>
        <v>1.0000000000000002</v>
      </c>
      <c r="G9" s="282">
        <f>F9</f>
        <v>1.0000000000000002</v>
      </c>
      <c r="H9" s="282">
        <f>G9</f>
        <v>1.0000000000000002</v>
      </c>
    </row>
    <row r="10" spans="1:10">
      <c r="A10" s="97" t="s">
        <v>328</v>
      </c>
      <c r="B10" s="191">
        <v>0</v>
      </c>
      <c r="C10" s="191">
        <v>0</v>
      </c>
      <c r="D10" s="191">
        <v>0</v>
      </c>
      <c r="E10" s="191">
        <v>0</v>
      </c>
      <c r="F10" s="191">
        <v>0</v>
      </c>
      <c r="G10" s="191">
        <v>0</v>
      </c>
      <c r="H10" s="191">
        <v>0</v>
      </c>
    </row>
    <row r="15" spans="1:10" ht="18.75">
      <c r="A15" s="421" t="s">
        <v>605</v>
      </c>
      <c r="B15" s="421"/>
      <c r="C15" s="421"/>
      <c r="D15" s="421"/>
      <c r="E15" s="421"/>
      <c r="F15" s="421"/>
      <c r="G15" s="421"/>
      <c r="H15" s="421"/>
      <c r="I15" s="421"/>
      <c r="J15" s="421"/>
    </row>
    <row r="16" spans="1:10">
      <c r="A16" s="14"/>
      <c r="B16" s="62"/>
      <c r="C16" s="30"/>
      <c r="D16" s="14"/>
      <c r="E16" s="14"/>
      <c r="F16" s="14"/>
      <c r="G16" s="14"/>
      <c r="H16" s="14"/>
    </row>
    <row r="17" spans="1:10">
      <c r="A17" s="94"/>
      <c r="B17" s="94"/>
      <c r="C17" s="94"/>
      <c r="D17" s="179">
        <v>1</v>
      </c>
      <c r="E17" s="184">
        <f>(D17*5%)+D17</f>
        <v>1.05</v>
      </c>
      <c r="F17" s="184">
        <f t="shared" ref="F17:J17" si="0">(E17*5%)+E17</f>
        <v>1.1025</v>
      </c>
      <c r="G17" s="184">
        <f t="shared" si="0"/>
        <v>1.1576250000000001</v>
      </c>
      <c r="H17" s="184">
        <f t="shared" si="0"/>
        <v>1.2155062500000002</v>
      </c>
      <c r="I17" s="184">
        <f t="shared" si="0"/>
        <v>1.2762815625000004</v>
      </c>
      <c r="J17" s="184">
        <f t="shared" si="0"/>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330</v>
      </c>
      <c r="B21" s="95"/>
      <c r="C21" s="257">
        <v>100</v>
      </c>
      <c r="D21" s="96">
        <f t="shared" ref="D21:J21" si="1">B10*$C$21*D17</f>
        <v>0</v>
      </c>
      <c r="E21" s="96">
        <f t="shared" si="1"/>
        <v>0</v>
      </c>
      <c r="F21" s="96">
        <f t="shared" si="1"/>
        <v>0</v>
      </c>
      <c r="G21" s="96">
        <f t="shared" si="1"/>
        <v>0</v>
      </c>
      <c r="H21" s="96">
        <f t="shared" si="1"/>
        <v>0</v>
      </c>
      <c r="I21" s="96">
        <f t="shared" si="1"/>
        <v>0</v>
      </c>
      <c r="J21" s="96">
        <f t="shared" si="1"/>
        <v>0</v>
      </c>
    </row>
    <row r="22" spans="1:10">
      <c r="A22" s="95"/>
      <c r="B22" s="95"/>
      <c r="C22" s="96"/>
      <c r="D22" s="96"/>
      <c r="E22" s="96"/>
      <c r="F22" s="96"/>
      <c r="G22" s="96"/>
      <c r="H22" s="96"/>
      <c r="I22" s="96"/>
      <c r="J22" s="96"/>
    </row>
    <row r="23" spans="1:10">
      <c r="A23" s="97" t="s">
        <v>144</v>
      </c>
      <c r="B23" s="97"/>
      <c r="C23" s="115"/>
      <c r="D23" s="96">
        <f t="shared" ref="D23:J23" si="2">SUM(D21:D21)</f>
        <v>0</v>
      </c>
      <c r="E23" s="96">
        <f t="shared" si="2"/>
        <v>0</v>
      </c>
      <c r="F23" s="96">
        <f t="shared" si="2"/>
        <v>0</v>
      </c>
      <c r="G23" s="96">
        <f t="shared" si="2"/>
        <v>0</v>
      </c>
      <c r="H23" s="96">
        <f t="shared" si="2"/>
        <v>0</v>
      </c>
      <c r="I23" s="96">
        <f t="shared" si="2"/>
        <v>0</v>
      </c>
      <c r="J23" s="96">
        <f t="shared" si="2"/>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316</v>
      </c>
      <c r="B26" s="97"/>
      <c r="C26" s="96"/>
      <c r="D26" s="96"/>
      <c r="E26" s="96"/>
      <c r="F26" s="96"/>
      <c r="G26" s="96"/>
      <c r="H26" s="96"/>
      <c r="I26" s="96"/>
      <c r="J26" s="96"/>
    </row>
    <row r="27" spans="1:10">
      <c r="A27" s="95" t="s">
        <v>307</v>
      </c>
      <c r="B27" s="233" t="s">
        <v>303</v>
      </c>
      <c r="C27" s="257">
        <v>15</v>
      </c>
      <c r="D27" s="96">
        <f t="shared" ref="D27:J27" si="3">$B$4*$C$27*D17*4</f>
        <v>0</v>
      </c>
      <c r="E27" s="96">
        <f t="shared" si="3"/>
        <v>0</v>
      </c>
      <c r="F27" s="96">
        <f t="shared" si="3"/>
        <v>0</v>
      </c>
      <c r="G27" s="96">
        <f t="shared" si="3"/>
        <v>0</v>
      </c>
      <c r="H27" s="96">
        <f t="shared" si="3"/>
        <v>0</v>
      </c>
      <c r="I27" s="96">
        <f t="shared" si="3"/>
        <v>0</v>
      </c>
      <c r="J27" s="96">
        <f t="shared" si="3"/>
        <v>0</v>
      </c>
    </row>
    <row r="28" spans="1:10">
      <c r="A28" s="95" t="s">
        <v>308</v>
      </c>
      <c r="B28" s="233" t="s">
        <v>303</v>
      </c>
      <c r="C28" s="257">
        <v>14</v>
      </c>
      <c r="D28" s="96">
        <f t="shared" ref="D28:J28" si="4">$B$4*$C$28*D17*12</f>
        <v>0</v>
      </c>
      <c r="E28" s="96">
        <f t="shared" si="4"/>
        <v>0</v>
      </c>
      <c r="F28" s="96">
        <f t="shared" si="4"/>
        <v>0</v>
      </c>
      <c r="G28" s="96">
        <f t="shared" si="4"/>
        <v>0</v>
      </c>
      <c r="H28" s="96">
        <f t="shared" si="4"/>
        <v>0</v>
      </c>
      <c r="I28" s="96">
        <f t="shared" si="4"/>
        <v>0</v>
      </c>
      <c r="J28" s="96">
        <f t="shared" si="4"/>
        <v>0</v>
      </c>
    </row>
    <row r="29" spans="1:10">
      <c r="A29" s="95" t="s">
        <v>309</v>
      </c>
      <c r="B29" s="233"/>
      <c r="C29" s="257">
        <f>B4*10</f>
        <v>0</v>
      </c>
      <c r="D29" s="96">
        <f>$C$29*12*D17</f>
        <v>0</v>
      </c>
      <c r="E29" s="96">
        <f t="shared" ref="E29:J29" si="5">$C$29*12*E17</f>
        <v>0</v>
      </c>
      <c r="F29" s="96">
        <f t="shared" si="5"/>
        <v>0</v>
      </c>
      <c r="G29" s="96">
        <f t="shared" si="5"/>
        <v>0</v>
      </c>
      <c r="H29" s="96">
        <f t="shared" si="5"/>
        <v>0</v>
      </c>
      <c r="I29" s="96">
        <f t="shared" si="5"/>
        <v>0</v>
      </c>
      <c r="J29" s="96">
        <f t="shared" si="5"/>
        <v>0</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327</v>
      </c>
      <c r="B34" s="238"/>
      <c r="C34" s="261"/>
      <c r="D34" s="115">
        <f>SUM(D27:D33)</f>
        <v>0</v>
      </c>
      <c r="E34" s="115">
        <f t="shared" ref="E34:J34" si="6">SUM(E27:E33)</f>
        <v>0</v>
      </c>
      <c r="F34" s="115">
        <f t="shared" si="6"/>
        <v>0</v>
      </c>
      <c r="G34" s="115">
        <f t="shared" si="6"/>
        <v>0</v>
      </c>
      <c r="H34" s="115">
        <f t="shared" si="6"/>
        <v>0</v>
      </c>
      <c r="I34" s="115">
        <f t="shared" si="6"/>
        <v>0</v>
      </c>
      <c r="J34" s="115">
        <f t="shared" si="6"/>
        <v>0</v>
      </c>
    </row>
    <row r="35" spans="1:10">
      <c r="A35" s="97"/>
      <c r="B35" s="238"/>
      <c r="C35" s="261"/>
      <c r="D35" s="115"/>
      <c r="E35" s="115"/>
      <c r="F35" s="115"/>
      <c r="G35" s="115"/>
      <c r="H35" s="115"/>
      <c r="I35" s="115"/>
      <c r="J35" s="115"/>
    </row>
    <row r="36" spans="1:10">
      <c r="A36" s="97" t="s">
        <v>314</v>
      </c>
      <c r="B36" s="233"/>
      <c r="C36" s="257"/>
      <c r="D36" s="96"/>
      <c r="E36" s="96"/>
      <c r="F36" s="96"/>
      <c r="G36" s="96"/>
      <c r="H36" s="96"/>
      <c r="I36" s="96"/>
      <c r="J36" s="96"/>
    </row>
    <row r="37" spans="1:10">
      <c r="A37" s="95" t="s">
        <v>329</v>
      </c>
      <c r="B37" s="233">
        <v>1</v>
      </c>
      <c r="C37" s="257"/>
      <c r="D37" s="96">
        <f>$B$37*$C$37*D17*12</f>
        <v>0</v>
      </c>
      <c r="E37" s="96">
        <f t="shared" ref="E37:J37" si="7">$B$37*$C$37*E17*12</f>
        <v>0</v>
      </c>
      <c r="F37" s="96">
        <f t="shared" si="7"/>
        <v>0</v>
      </c>
      <c r="G37" s="96">
        <f t="shared" si="7"/>
        <v>0</v>
      </c>
      <c r="H37" s="96">
        <f t="shared" si="7"/>
        <v>0</v>
      </c>
      <c r="I37" s="96">
        <f t="shared" si="7"/>
        <v>0</v>
      </c>
      <c r="J37" s="96">
        <f t="shared" si="7"/>
        <v>0</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331</v>
      </c>
      <c r="B43" s="97"/>
      <c r="C43" s="115"/>
      <c r="D43" s="115">
        <f>SUM(D37:D42)</f>
        <v>0</v>
      </c>
      <c r="E43" s="115">
        <f t="shared" ref="E43:J43" si="8">SUM(E37:E42)</f>
        <v>0</v>
      </c>
      <c r="F43" s="115">
        <f t="shared" si="8"/>
        <v>0</v>
      </c>
      <c r="G43" s="115">
        <f t="shared" si="8"/>
        <v>0</v>
      </c>
      <c r="H43" s="115">
        <f t="shared" si="8"/>
        <v>0</v>
      </c>
      <c r="I43" s="115">
        <f t="shared" si="8"/>
        <v>0</v>
      </c>
      <c r="J43" s="115">
        <f t="shared" si="8"/>
        <v>0</v>
      </c>
    </row>
    <row r="44" spans="1:10">
      <c r="A44" s="97"/>
      <c r="B44" s="97"/>
      <c r="C44" s="115"/>
      <c r="D44" s="115"/>
      <c r="E44" s="115"/>
      <c r="F44" s="115"/>
      <c r="G44" s="115"/>
      <c r="H44" s="115"/>
      <c r="I44" s="115"/>
      <c r="J44" s="115"/>
    </row>
    <row r="45" spans="1:10">
      <c r="A45" s="97" t="s">
        <v>130</v>
      </c>
      <c r="B45" s="97"/>
      <c r="C45" s="115"/>
      <c r="D45" s="115">
        <f>D34+D43</f>
        <v>0</v>
      </c>
      <c r="E45" s="115">
        <f t="shared" ref="E45:J45" si="9">E34+E43</f>
        <v>0</v>
      </c>
      <c r="F45" s="115">
        <f t="shared" si="9"/>
        <v>0</v>
      </c>
      <c r="G45" s="115">
        <f t="shared" si="9"/>
        <v>0</v>
      </c>
      <c r="H45" s="115">
        <f t="shared" si="9"/>
        <v>0</v>
      </c>
      <c r="I45" s="115">
        <f t="shared" si="9"/>
        <v>0</v>
      </c>
      <c r="J45" s="115">
        <f t="shared" si="9"/>
        <v>0</v>
      </c>
    </row>
    <row r="46" spans="1:10">
      <c r="A46" s="95"/>
      <c r="B46" s="95"/>
      <c r="C46" s="96"/>
      <c r="D46" s="96"/>
      <c r="E46" s="96"/>
      <c r="F46" s="96"/>
      <c r="G46" s="96"/>
      <c r="H46" s="96"/>
      <c r="I46" s="96"/>
      <c r="J46" s="96"/>
    </row>
    <row r="47" spans="1:10">
      <c r="A47" s="97" t="s">
        <v>129</v>
      </c>
      <c r="B47" s="97"/>
      <c r="C47" s="115"/>
      <c r="D47" s="115">
        <f t="shared" ref="D47:J47" si="10">D23-D45</f>
        <v>0</v>
      </c>
      <c r="E47" s="115">
        <f t="shared" si="10"/>
        <v>0</v>
      </c>
      <c r="F47" s="115">
        <f t="shared" si="10"/>
        <v>0</v>
      </c>
      <c r="G47" s="115">
        <f t="shared" si="10"/>
        <v>0</v>
      </c>
      <c r="H47" s="115">
        <f t="shared" si="10"/>
        <v>0</v>
      </c>
      <c r="I47" s="115">
        <f t="shared" si="10"/>
        <v>0</v>
      </c>
      <c r="J47" s="115">
        <f t="shared" si="10"/>
        <v>0</v>
      </c>
    </row>
    <row r="48" spans="1:10">
      <c r="A48" s="94"/>
      <c r="B48" s="94"/>
      <c r="C48" s="94"/>
      <c r="D48" s="94"/>
      <c r="E48" s="94"/>
      <c r="F48" s="94"/>
      <c r="G48" s="94"/>
      <c r="H48" s="94"/>
      <c r="I48" s="94"/>
      <c r="J48" s="94"/>
    </row>
    <row r="49" spans="1:10">
      <c r="A49" s="94"/>
    </row>
    <row r="51" spans="1:10">
      <c r="A51" s="422" t="s">
        <v>434</v>
      </c>
      <c r="B51" s="422"/>
      <c r="C51" s="422"/>
      <c r="D51" s="422"/>
      <c r="E51" s="422"/>
      <c r="F51" s="422"/>
      <c r="G51" s="422"/>
      <c r="H51" s="422"/>
      <c r="I51" s="422"/>
      <c r="J51" s="422"/>
    </row>
    <row r="53" spans="1:10">
      <c r="A53" t="s">
        <v>550</v>
      </c>
    </row>
    <row r="54" spans="1:10">
      <c r="A54">
        <v>1</v>
      </c>
      <c r="B54" t="s">
        <v>563</v>
      </c>
    </row>
    <row r="55" spans="1:10">
      <c r="A55">
        <v>2</v>
      </c>
      <c r="B55" t="s">
        <v>564</v>
      </c>
    </row>
    <row r="56" spans="1:10">
      <c r="A56">
        <v>3</v>
      </c>
      <c r="B56" s="94" t="s">
        <v>616</v>
      </c>
    </row>
  </sheetData>
  <mergeCells count="4">
    <mergeCell ref="A15:J15"/>
    <mergeCell ref="A2:H2"/>
    <mergeCell ref="A51:J51"/>
    <mergeCell ref="A3:H3"/>
  </mergeCells>
  <pageMargins left="0.70866141732283472" right="0.70866141732283472" top="0.74803149606299213" bottom="0.74803149606299213" header="0.31496062992125984" footer="0.31496062992125984"/>
  <pageSetup paperSize="9" scale="70"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78"/>
  <sheetViews>
    <sheetView view="pageBreakPreview" zoomScale="80" zoomScaleSheetLayoutView="80" workbookViewId="0">
      <selection activeCell="C58" sqref="C58"/>
    </sheetView>
  </sheetViews>
  <sheetFormatPr defaultRowHeight="15"/>
  <cols>
    <col min="1" max="1" width="26.85546875" customWidth="1"/>
    <col min="2"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1" t="s">
        <v>606</v>
      </c>
      <c r="B3" s="421"/>
      <c r="C3" s="421"/>
      <c r="D3" s="421"/>
      <c r="E3" s="421"/>
      <c r="F3" s="421"/>
      <c r="G3" s="421"/>
      <c r="H3" s="421"/>
      <c r="I3" s="421"/>
      <c r="J3" s="421"/>
      <c r="K3" s="421"/>
      <c r="L3" s="421"/>
    </row>
    <row r="4" spans="1:13" ht="18.75">
      <c r="A4" s="421" t="s">
        <v>607</v>
      </c>
      <c r="B4" s="421"/>
      <c r="C4" s="421"/>
      <c r="D4" s="421"/>
      <c r="E4" s="421"/>
      <c r="F4" s="421"/>
      <c r="G4" s="421"/>
      <c r="H4" s="421"/>
      <c r="I4" s="421"/>
      <c r="J4" s="421"/>
      <c r="K4" s="421"/>
      <c r="L4" s="421"/>
    </row>
    <row r="5" spans="1:13">
      <c r="A5" s="94"/>
      <c r="B5" s="94"/>
      <c r="C5" s="94"/>
    </row>
    <row r="6" spans="1:13">
      <c r="A6" s="94"/>
      <c r="B6" s="94"/>
      <c r="C6" s="94"/>
    </row>
    <row r="7" spans="1:13" ht="45">
      <c r="A7" s="293" t="s">
        <v>146</v>
      </c>
      <c r="B7" s="294" t="s">
        <v>442</v>
      </c>
      <c r="C7" s="294" t="s">
        <v>445</v>
      </c>
      <c r="D7" s="294" t="s">
        <v>443</v>
      </c>
      <c r="E7" s="294" t="s">
        <v>444</v>
      </c>
      <c r="F7" s="294" t="s">
        <v>310</v>
      </c>
      <c r="G7" s="294" t="s">
        <v>446</v>
      </c>
      <c r="H7" s="294" t="s">
        <v>447</v>
      </c>
      <c r="I7" s="294" t="s">
        <v>448</v>
      </c>
      <c r="J7" s="296" t="s">
        <v>451</v>
      </c>
      <c r="K7" s="294" t="s">
        <v>449</v>
      </c>
      <c r="L7" s="296" t="s">
        <v>450</v>
      </c>
      <c r="M7" s="294" t="s">
        <v>453</v>
      </c>
    </row>
    <row r="8" spans="1:13">
      <c r="A8" s="295">
        <v>1</v>
      </c>
      <c r="B8" s="391" t="s">
        <v>710</v>
      </c>
      <c r="C8" s="289">
        <v>1</v>
      </c>
      <c r="D8" s="289">
        <v>100</v>
      </c>
      <c r="E8" s="289">
        <v>8</v>
      </c>
      <c r="F8" s="298">
        <f>D8*E8*C8</f>
        <v>800</v>
      </c>
      <c r="G8" s="289">
        <v>4</v>
      </c>
      <c r="H8" s="298">
        <f>F8/G8</f>
        <v>200</v>
      </c>
      <c r="I8" s="289">
        <v>12</v>
      </c>
      <c r="J8" s="298">
        <f>H8*I8</f>
        <v>2400</v>
      </c>
      <c r="K8" s="289">
        <v>3000</v>
      </c>
      <c r="L8" s="289">
        <v>1</v>
      </c>
      <c r="M8" s="298">
        <f t="shared" ref="M8:M20" si="0">D8*L8</f>
        <v>100</v>
      </c>
    </row>
    <row r="9" spans="1:13">
      <c r="A9" s="295">
        <v>2</v>
      </c>
      <c r="B9" s="391" t="s">
        <v>711</v>
      </c>
      <c r="C9" s="289">
        <v>1</v>
      </c>
      <c r="D9" s="289">
        <v>100</v>
      </c>
      <c r="E9" s="289">
        <v>8</v>
      </c>
      <c r="F9" s="298">
        <f t="shared" ref="F9:F20" si="1">D9*E9*C9</f>
        <v>800</v>
      </c>
      <c r="G9" s="289">
        <v>2</v>
      </c>
      <c r="H9" s="298">
        <f>F9/G9</f>
        <v>400</v>
      </c>
      <c r="I9" s="289">
        <v>8</v>
      </c>
      <c r="J9" s="298">
        <f t="shared" ref="J9:J20" si="2">H9*I9</f>
        <v>3200</v>
      </c>
      <c r="K9" s="289">
        <v>1800</v>
      </c>
      <c r="L9" s="289">
        <v>1</v>
      </c>
      <c r="M9" s="298">
        <f t="shared" si="0"/>
        <v>100</v>
      </c>
    </row>
    <row r="10" spans="1:13">
      <c r="A10" s="295">
        <v>3</v>
      </c>
      <c r="B10" s="391" t="s">
        <v>712</v>
      </c>
      <c r="C10" s="289">
        <v>1</v>
      </c>
      <c r="D10" s="289">
        <v>100</v>
      </c>
      <c r="E10" s="289">
        <v>8</v>
      </c>
      <c r="F10" s="298">
        <f t="shared" si="1"/>
        <v>800</v>
      </c>
      <c r="G10" s="289">
        <v>2</v>
      </c>
      <c r="H10" s="298">
        <f>F10/G10</f>
        <v>400</v>
      </c>
      <c r="I10" s="289">
        <v>8</v>
      </c>
      <c r="J10" s="298">
        <f t="shared" si="2"/>
        <v>3200</v>
      </c>
      <c r="K10" s="289">
        <v>1800</v>
      </c>
      <c r="L10" s="289">
        <v>1</v>
      </c>
      <c r="M10" s="298">
        <f t="shared" si="0"/>
        <v>100</v>
      </c>
    </row>
    <row r="11" spans="1:13">
      <c r="A11" s="295">
        <v>4</v>
      </c>
      <c r="B11" s="391" t="s">
        <v>713</v>
      </c>
      <c r="C11" s="289">
        <v>1</v>
      </c>
      <c r="D11" s="289">
        <v>75</v>
      </c>
      <c r="E11" s="289">
        <v>8</v>
      </c>
      <c r="F11" s="298">
        <f t="shared" si="1"/>
        <v>600</v>
      </c>
      <c r="G11" s="289">
        <v>2</v>
      </c>
      <c r="H11" s="298">
        <f>F11/G11</f>
        <v>300</v>
      </c>
      <c r="I11" s="289">
        <v>4</v>
      </c>
      <c r="J11" s="298">
        <f t="shared" si="2"/>
        <v>1200</v>
      </c>
      <c r="K11" s="289">
        <v>1200</v>
      </c>
      <c r="L11" s="289">
        <v>1</v>
      </c>
      <c r="M11" s="298">
        <f t="shared" si="0"/>
        <v>75</v>
      </c>
    </row>
    <row r="12" spans="1:13">
      <c r="A12" s="295">
        <v>5</v>
      </c>
      <c r="B12" s="391" t="s">
        <v>714</v>
      </c>
      <c r="C12" s="289">
        <v>1</v>
      </c>
      <c r="D12" s="289">
        <v>75</v>
      </c>
      <c r="E12" s="289">
        <v>8</v>
      </c>
      <c r="F12" s="298">
        <f t="shared" si="1"/>
        <v>600</v>
      </c>
      <c r="G12" s="289">
        <v>2</v>
      </c>
      <c r="H12" s="298">
        <f>F12/G12</f>
        <v>300</v>
      </c>
      <c r="I12" s="289">
        <v>10</v>
      </c>
      <c r="J12" s="298">
        <f t="shared" si="2"/>
        <v>3000</v>
      </c>
      <c r="K12" s="289">
        <v>3000</v>
      </c>
      <c r="L12" s="289">
        <v>1</v>
      </c>
      <c r="M12" s="298">
        <f t="shared" si="0"/>
        <v>75</v>
      </c>
    </row>
    <row r="13" spans="1:13">
      <c r="A13" s="295">
        <v>6</v>
      </c>
      <c r="B13" s="391" t="s">
        <v>716</v>
      </c>
      <c r="C13" s="289">
        <v>1</v>
      </c>
      <c r="D13" s="289">
        <v>100</v>
      </c>
      <c r="E13" s="289">
        <v>8</v>
      </c>
      <c r="F13" s="298">
        <f t="shared" si="1"/>
        <v>800</v>
      </c>
      <c r="G13" s="10">
        <v>4</v>
      </c>
      <c r="H13" s="298">
        <f t="shared" ref="H13:H20" si="3">F13/G13</f>
        <v>200</v>
      </c>
      <c r="I13" s="10">
        <v>8</v>
      </c>
      <c r="J13" s="298">
        <f t="shared" si="2"/>
        <v>1600</v>
      </c>
      <c r="K13" s="10">
        <v>1500</v>
      </c>
      <c r="L13" s="289">
        <v>1</v>
      </c>
      <c r="M13" s="298">
        <f t="shared" si="0"/>
        <v>100</v>
      </c>
    </row>
    <row r="14" spans="1:13">
      <c r="A14" s="295">
        <v>7</v>
      </c>
      <c r="B14" s="391" t="s">
        <v>717</v>
      </c>
      <c r="C14" s="289">
        <v>1</v>
      </c>
      <c r="D14" s="289">
        <v>100</v>
      </c>
      <c r="E14" s="289">
        <v>8</v>
      </c>
      <c r="F14" s="298">
        <f t="shared" si="1"/>
        <v>800</v>
      </c>
      <c r="G14" s="10">
        <v>4</v>
      </c>
      <c r="H14" s="298">
        <f t="shared" si="3"/>
        <v>200</v>
      </c>
      <c r="I14" s="10">
        <v>8</v>
      </c>
      <c r="J14" s="298">
        <f t="shared" si="2"/>
        <v>1600</v>
      </c>
      <c r="K14" s="10">
        <v>2000</v>
      </c>
      <c r="L14" s="289">
        <v>1</v>
      </c>
      <c r="M14" s="298">
        <f t="shared" si="0"/>
        <v>100</v>
      </c>
    </row>
    <row r="15" spans="1:13">
      <c r="A15" s="295">
        <v>8</v>
      </c>
      <c r="B15" s="391" t="s">
        <v>718</v>
      </c>
      <c r="C15" s="289">
        <v>1</v>
      </c>
      <c r="D15" s="289">
        <v>75</v>
      </c>
      <c r="E15" s="289">
        <v>8</v>
      </c>
      <c r="F15" s="298">
        <f t="shared" si="1"/>
        <v>600</v>
      </c>
      <c r="G15" s="10">
        <v>2</v>
      </c>
      <c r="H15" s="298">
        <f t="shared" si="3"/>
        <v>300</v>
      </c>
      <c r="I15" s="10">
        <v>4</v>
      </c>
      <c r="J15" s="298">
        <f t="shared" si="2"/>
        <v>1200</v>
      </c>
      <c r="K15" s="10">
        <v>2000</v>
      </c>
      <c r="L15" s="289">
        <v>1</v>
      </c>
      <c r="M15" s="298">
        <f t="shared" si="0"/>
        <v>75</v>
      </c>
    </row>
    <row r="16" spans="1:13">
      <c r="A16" s="295">
        <v>9</v>
      </c>
      <c r="B16" s="391" t="s">
        <v>719</v>
      </c>
      <c r="C16" s="289">
        <v>1</v>
      </c>
      <c r="D16" s="289">
        <v>75</v>
      </c>
      <c r="E16" s="289">
        <v>8</v>
      </c>
      <c r="F16" s="298">
        <f t="shared" si="1"/>
        <v>600</v>
      </c>
      <c r="G16" s="10">
        <v>2</v>
      </c>
      <c r="H16" s="298">
        <f t="shared" si="3"/>
        <v>300</v>
      </c>
      <c r="I16" s="10">
        <v>4</v>
      </c>
      <c r="J16" s="298">
        <f t="shared" si="2"/>
        <v>1200</v>
      </c>
      <c r="K16" s="10">
        <v>2000</v>
      </c>
      <c r="L16" s="289">
        <v>1</v>
      </c>
      <c r="M16" s="298">
        <f t="shared" si="0"/>
        <v>75</v>
      </c>
    </row>
    <row r="17" spans="1:16">
      <c r="A17" s="295">
        <v>10</v>
      </c>
      <c r="B17" s="391" t="s">
        <v>715</v>
      </c>
      <c r="C17" s="289">
        <v>1</v>
      </c>
      <c r="D17" s="289">
        <v>100</v>
      </c>
      <c r="E17" s="289">
        <v>8</v>
      </c>
      <c r="F17" s="298">
        <f t="shared" si="1"/>
        <v>800</v>
      </c>
      <c r="G17" s="10">
        <v>5</v>
      </c>
      <c r="H17" s="298">
        <f t="shared" si="3"/>
        <v>160</v>
      </c>
      <c r="I17" s="10">
        <v>4</v>
      </c>
      <c r="J17" s="298">
        <f t="shared" si="2"/>
        <v>640</v>
      </c>
      <c r="K17" s="10">
        <v>2000</v>
      </c>
      <c r="L17" s="289">
        <v>1</v>
      </c>
      <c r="M17" s="298">
        <f t="shared" si="0"/>
        <v>100</v>
      </c>
    </row>
    <row r="18" spans="1:16">
      <c r="A18" s="295">
        <v>11</v>
      </c>
      <c r="B18" s="391" t="s">
        <v>720</v>
      </c>
      <c r="C18" s="289">
        <v>1</v>
      </c>
      <c r="D18" s="289">
        <v>100</v>
      </c>
      <c r="E18" s="289">
        <v>8</v>
      </c>
      <c r="F18" s="298">
        <f t="shared" si="1"/>
        <v>800</v>
      </c>
      <c r="G18" s="10">
        <v>5</v>
      </c>
      <c r="H18" s="298">
        <f t="shared" si="3"/>
        <v>160</v>
      </c>
      <c r="I18" s="10">
        <v>4</v>
      </c>
      <c r="J18" s="298">
        <f t="shared" si="2"/>
        <v>640</v>
      </c>
      <c r="K18" s="10">
        <v>2000</v>
      </c>
      <c r="L18" s="289">
        <v>1</v>
      </c>
      <c r="M18" s="298">
        <f t="shared" si="0"/>
        <v>100</v>
      </c>
    </row>
    <row r="19" spans="1:16">
      <c r="A19" s="295">
        <v>12</v>
      </c>
      <c r="B19" s="391" t="s">
        <v>721</v>
      </c>
      <c r="C19" s="289">
        <v>1</v>
      </c>
      <c r="D19" s="289">
        <v>100</v>
      </c>
      <c r="E19" s="289">
        <v>8</v>
      </c>
      <c r="F19" s="298">
        <f t="shared" si="1"/>
        <v>800</v>
      </c>
      <c r="G19" s="10">
        <v>4</v>
      </c>
      <c r="H19" s="298">
        <f t="shared" si="3"/>
        <v>200</v>
      </c>
      <c r="I19" s="10">
        <v>4</v>
      </c>
      <c r="J19" s="298">
        <f t="shared" si="2"/>
        <v>800</v>
      </c>
      <c r="K19" s="10">
        <v>2000</v>
      </c>
      <c r="L19" s="289">
        <v>1</v>
      </c>
      <c r="M19" s="298">
        <f t="shared" si="0"/>
        <v>100</v>
      </c>
    </row>
    <row r="20" spans="1:16">
      <c r="A20" s="295">
        <v>13</v>
      </c>
      <c r="B20" s="391" t="s">
        <v>722</v>
      </c>
      <c r="C20" s="289">
        <v>1</v>
      </c>
      <c r="D20" s="289">
        <v>75</v>
      </c>
      <c r="E20" s="289">
        <v>8</v>
      </c>
      <c r="F20" s="298">
        <f t="shared" si="1"/>
        <v>600</v>
      </c>
      <c r="G20" s="10">
        <v>8</v>
      </c>
      <c r="H20" s="298">
        <f t="shared" si="3"/>
        <v>75</v>
      </c>
      <c r="I20" s="10">
        <v>4</v>
      </c>
      <c r="J20" s="298">
        <f t="shared" si="2"/>
        <v>300</v>
      </c>
      <c r="K20" s="10">
        <v>2000</v>
      </c>
      <c r="L20" s="289">
        <v>1</v>
      </c>
      <c r="M20" s="298">
        <f t="shared" si="0"/>
        <v>75</v>
      </c>
    </row>
    <row r="21" spans="1:16">
      <c r="A21" s="295"/>
      <c r="B21" s="10"/>
      <c r="C21" s="10"/>
      <c r="D21" s="10"/>
      <c r="E21" s="10"/>
      <c r="F21" s="298">
        <f>SUM(F8:F20)</f>
        <v>9400</v>
      </c>
      <c r="G21" s="298">
        <f t="shared" ref="G21:M21" si="4">SUM(G8:G20)</f>
        <v>46</v>
      </c>
      <c r="H21" s="298">
        <f t="shared" si="4"/>
        <v>3195</v>
      </c>
      <c r="I21" s="298">
        <f t="shared" si="4"/>
        <v>82</v>
      </c>
      <c r="J21" s="298">
        <f t="shared" si="4"/>
        <v>20980</v>
      </c>
      <c r="K21" s="298">
        <f t="shared" si="4"/>
        <v>26300</v>
      </c>
      <c r="L21" s="298">
        <f t="shared" si="4"/>
        <v>13</v>
      </c>
      <c r="M21" s="298">
        <f t="shared" si="4"/>
        <v>1175</v>
      </c>
    </row>
    <row r="22" spans="1:16">
      <c r="A22" s="15"/>
      <c r="B22" s="15"/>
      <c r="C22" s="299"/>
      <c r="D22" s="299"/>
      <c r="E22" s="299"/>
      <c r="F22" s="299"/>
      <c r="G22" s="299"/>
      <c r="H22" s="299"/>
      <c r="I22" s="299"/>
      <c r="J22" s="299"/>
      <c r="K22" s="299"/>
      <c r="L22" s="299"/>
      <c r="M22" s="297"/>
    </row>
    <row r="23" spans="1:16">
      <c r="A23" s="15"/>
      <c r="B23" s="15"/>
      <c r="C23" s="299"/>
      <c r="D23" s="299"/>
      <c r="E23" s="299"/>
      <c r="F23" s="299"/>
      <c r="G23" s="299"/>
      <c r="H23" s="299"/>
      <c r="I23" s="299"/>
      <c r="J23" s="299"/>
      <c r="K23" s="299"/>
      <c r="L23" s="299"/>
      <c r="M23" s="297"/>
    </row>
    <row r="25" spans="1:16" ht="18.75">
      <c r="A25" s="421" t="s">
        <v>608</v>
      </c>
      <c r="B25" s="421"/>
      <c r="C25" s="421"/>
      <c r="D25" s="421"/>
      <c r="E25" s="421"/>
      <c r="F25" s="421"/>
      <c r="G25" s="421"/>
      <c r="H25" s="421"/>
      <c r="I25" s="421"/>
      <c r="J25" s="421"/>
      <c r="K25" s="421"/>
    </row>
    <row r="27" spans="1:16">
      <c r="A27" s="94"/>
      <c r="B27" s="94"/>
      <c r="C27" s="94"/>
      <c r="D27" s="94"/>
      <c r="E27" s="179">
        <v>1</v>
      </c>
      <c r="F27" s="184">
        <f>(E27*5%)+E27</f>
        <v>1.05</v>
      </c>
      <c r="G27" s="184">
        <f t="shared" ref="G27:K27" si="5">(F27*5%)+F27</f>
        <v>1.1025</v>
      </c>
      <c r="H27" s="184">
        <f t="shared" si="5"/>
        <v>1.1576250000000001</v>
      </c>
      <c r="I27" s="184">
        <f t="shared" si="5"/>
        <v>1.2155062500000002</v>
      </c>
      <c r="J27" s="184">
        <f t="shared" si="5"/>
        <v>1.2762815625000004</v>
      </c>
      <c r="K27" s="184">
        <f t="shared" si="5"/>
        <v>1.3400956406250004</v>
      </c>
    </row>
    <row r="28" spans="1:16">
      <c r="A28" s="148" t="s">
        <v>0</v>
      </c>
      <c r="B28" s="148" t="s">
        <v>133</v>
      </c>
      <c r="C28" s="148" t="s">
        <v>147</v>
      </c>
      <c r="D28" s="148" t="s">
        <v>154</v>
      </c>
      <c r="E28" s="120" t="s">
        <v>2</v>
      </c>
      <c r="F28" s="120" t="s">
        <v>3</v>
      </c>
      <c r="G28" s="120" t="s">
        <v>4</v>
      </c>
      <c r="H28" s="120" t="s">
        <v>5</v>
      </c>
      <c r="I28" s="120" t="s">
        <v>6</v>
      </c>
      <c r="J28" s="120" t="s">
        <v>171</v>
      </c>
      <c r="K28" s="120" t="s">
        <v>170</v>
      </c>
    </row>
    <row r="29" spans="1:16">
      <c r="A29" s="97"/>
      <c r="B29" s="97"/>
      <c r="C29" s="97"/>
      <c r="D29" s="97"/>
      <c r="E29" s="95"/>
      <c r="F29" s="95"/>
      <c r="G29" s="95"/>
      <c r="H29" s="95"/>
      <c r="I29" s="95"/>
      <c r="J29" s="95"/>
      <c r="K29" s="95"/>
    </row>
    <row r="30" spans="1:16">
      <c r="A30" s="97" t="s">
        <v>127</v>
      </c>
      <c r="B30" s="97"/>
      <c r="C30" s="97"/>
      <c r="D30" s="97"/>
      <c r="E30" s="95"/>
      <c r="F30" s="95"/>
      <c r="G30" s="95"/>
      <c r="H30" s="95"/>
      <c r="I30" s="95"/>
      <c r="J30" s="95"/>
      <c r="K30" s="95"/>
      <c r="P30" s="94"/>
    </row>
    <row r="31" spans="1:16">
      <c r="A31" s="196" t="s">
        <v>455</v>
      </c>
      <c r="B31" s="109"/>
      <c r="C31" s="300"/>
      <c r="D31" s="300"/>
      <c r="E31" s="96"/>
      <c r="F31" s="96"/>
      <c r="G31" s="96"/>
      <c r="H31" s="96"/>
      <c r="I31" s="96"/>
      <c r="J31" s="96"/>
      <c r="K31" s="96"/>
      <c r="P31" s="94"/>
    </row>
    <row r="32" spans="1:16">
      <c r="A32" s="391" t="s">
        <v>710</v>
      </c>
      <c r="B32" s="109"/>
      <c r="C32" s="300">
        <f t="shared" ref="C32:C40" si="6">H8</f>
        <v>200</v>
      </c>
      <c r="D32" s="300">
        <f t="shared" ref="D32:D40" si="7">K8</f>
        <v>3000</v>
      </c>
      <c r="E32" s="96">
        <f>$C$32*$D$32*E27</f>
        <v>600000</v>
      </c>
      <c r="F32" s="96">
        <f t="shared" ref="F32:K32" si="8">$C$32*$D$32*F27</f>
        <v>630000</v>
      </c>
      <c r="G32" s="96">
        <f t="shared" si="8"/>
        <v>661500</v>
      </c>
      <c r="H32" s="96">
        <f t="shared" si="8"/>
        <v>694575.00000000012</v>
      </c>
      <c r="I32" s="96">
        <f t="shared" si="8"/>
        <v>729303.75000000012</v>
      </c>
      <c r="J32" s="96">
        <f t="shared" si="8"/>
        <v>765768.93750000023</v>
      </c>
      <c r="K32" s="96">
        <f t="shared" si="8"/>
        <v>804057.38437500026</v>
      </c>
      <c r="P32" s="94"/>
    </row>
    <row r="33" spans="1:16">
      <c r="A33" s="391" t="s">
        <v>711</v>
      </c>
      <c r="B33" s="109"/>
      <c r="C33" s="300">
        <f t="shared" si="6"/>
        <v>400</v>
      </c>
      <c r="D33" s="300">
        <f t="shared" si="7"/>
        <v>1800</v>
      </c>
      <c r="E33" s="96">
        <f>$C$33*$D$33*E27</f>
        <v>720000</v>
      </c>
      <c r="F33" s="96">
        <f t="shared" ref="F33:K33" si="9">$C$33*$D$33*F27</f>
        <v>756000</v>
      </c>
      <c r="G33" s="96">
        <f t="shared" si="9"/>
        <v>793800</v>
      </c>
      <c r="H33" s="96">
        <f t="shared" si="9"/>
        <v>833490.00000000012</v>
      </c>
      <c r="I33" s="96">
        <f t="shared" si="9"/>
        <v>875164.50000000012</v>
      </c>
      <c r="J33" s="96">
        <f t="shared" si="9"/>
        <v>918922.72500000021</v>
      </c>
      <c r="K33" s="96">
        <f t="shared" si="9"/>
        <v>964868.86125000031</v>
      </c>
      <c r="P33" s="94"/>
    </row>
    <row r="34" spans="1:16">
      <c r="A34" s="391" t="s">
        <v>712</v>
      </c>
      <c r="B34" s="109"/>
      <c r="C34" s="300">
        <f t="shared" si="6"/>
        <v>400</v>
      </c>
      <c r="D34" s="300">
        <f t="shared" si="7"/>
        <v>1800</v>
      </c>
      <c r="E34" s="96">
        <f>$C$34*$D$34*E27</f>
        <v>720000</v>
      </c>
      <c r="F34" s="96">
        <f t="shared" ref="F34:K34" si="10">$C$34*$D$34*F27</f>
        <v>756000</v>
      </c>
      <c r="G34" s="96">
        <f t="shared" si="10"/>
        <v>793800</v>
      </c>
      <c r="H34" s="96">
        <f t="shared" si="10"/>
        <v>833490.00000000012</v>
      </c>
      <c r="I34" s="96">
        <f t="shared" si="10"/>
        <v>875164.50000000012</v>
      </c>
      <c r="J34" s="96">
        <f t="shared" si="10"/>
        <v>918922.72500000021</v>
      </c>
      <c r="K34" s="96">
        <f t="shared" si="10"/>
        <v>964868.86125000031</v>
      </c>
      <c r="P34" s="94"/>
    </row>
    <row r="35" spans="1:16">
      <c r="A35" s="391" t="s">
        <v>713</v>
      </c>
      <c r="B35" s="109"/>
      <c r="C35" s="300">
        <f t="shared" si="6"/>
        <v>300</v>
      </c>
      <c r="D35" s="300">
        <f t="shared" si="7"/>
        <v>1200</v>
      </c>
      <c r="E35" s="96">
        <f>$C$35*$D$35*E27</f>
        <v>360000</v>
      </c>
      <c r="F35" s="96">
        <f t="shared" ref="F35:K35" si="11">$C$35*$D$35*F27</f>
        <v>378000</v>
      </c>
      <c r="G35" s="96">
        <f t="shared" si="11"/>
        <v>396900</v>
      </c>
      <c r="H35" s="96">
        <f t="shared" si="11"/>
        <v>416745.00000000006</v>
      </c>
      <c r="I35" s="96">
        <f t="shared" si="11"/>
        <v>437582.25000000006</v>
      </c>
      <c r="J35" s="96">
        <f t="shared" si="11"/>
        <v>459461.3625000001</v>
      </c>
      <c r="K35" s="96">
        <f t="shared" si="11"/>
        <v>482434.43062500015</v>
      </c>
      <c r="P35" s="94"/>
    </row>
    <row r="36" spans="1:16">
      <c r="A36" s="391" t="s">
        <v>714</v>
      </c>
      <c r="B36" s="109"/>
      <c r="C36" s="300">
        <f t="shared" si="6"/>
        <v>300</v>
      </c>
      <c r="D36" s="300">
        <f t="shared" si="7"/>
        <v>3000</v>
      </c>
      <c r="E36" s="96">
        <f>$C$36*$D$36*E27</f>
        <v>900000</v>
      </c>
      <c r="F36" s="96">
        <f t="shared" ref="F36:K36" si="12">$C$36*$D$36*F27</f>
        <v>945000</v>
      </c>
      <c r="G36" s="96">
        <f t="shared" si="12"/>
        <v>992250</v>
      </c>
      <c r="H36" s="96">
        <f t="shared" si="12"/>
        <v>1041862.5000000001</v>
      </c>
      <c r="I36" s="96">
        <f t="shared" si="12"/>
        <v>1093955.6250000002</v>
      </c>
      <c r="J36" s="96">
        <f t="shared" si="12"/>
        <v>1148653.4062500002</v>
      </c>
      <c r="K36" s="96">
        <f t="shared" si="12"/>
        <v>1206086.0765625003</v>
      </c>
      <c r="P36" s="94"/>
    </row>
    <row r="37" spans="1:16">
      <c r="A37" s="391" t="s">
        <v>716</v>
      </c>
      <c r="B37" s="109"/>
      <c r="C37" s="300">
        <f t="shared" si="6"/>
        <v>200</v>
      </c>
      <c r="D37" s="300">
        <f t="shared" si="7"/>
        <v>1500</v>
      </c>
      <c r="E37" s="96">
        <f>$C$37*$D$37*E27</f>
        <v>300000</v>
      </c>
      <c r="F37" s="96">
        <f t="shared" ref="F37:K37" si="13">$C$37*$D$37*F27</f>
        <v>315000</v>
      </c>
      <c r="G37" s="96">
        <f t="shared" si="13"/>
        <v>330750</v>
      </c>
      <c r="H37" s="96">
        <f t="shared" si="13"/>
        <v>347287.50000000006</v>
      </c>
      <c r="I37" s="96">
        <f t="shared" si="13"/>
        <v>364651.87500000006</v>
      </c>
      <c r="J37" s="96">
        <f t="shared" si="13"/>
        <v>382884.46875000012</v>
      </c>
      <c r="K37" s="96">
        <f t="shared" si="13"/>
        <v>402028.69218750013</v>
      </c>
      <c r="P37" s="94"/>
    </row>
    <row r="38" spans="1:16">
      <c r="A38" s="391" t="s">
        <v>717</v>
      </c>
      <c r="B38" s="109"/>
      <c r="C38" s="300">
        <f t="shared" si="6"/>
        <v>200</v>
      </c>
      <c r="D38" s="300">
        <f t="shared" si="7"/>
        <v>2000</v>
      </c>
      <c r="E38" s="96">
        <f>$C$38*$D$38*E27</f>
        <v>400000</v>
      </c>
      <c r="F38" s="96">
        <f t="shared" ref="F38:K38" si="14">$C$38*$D$38*F27</f>
        <v>420000</v>
      </c>
      <c r="G38" s="96">
        <f t="shared" si="14"/>
        <v>441000</v>
      </c>
      <c r="H38" s="96">
        <f t="shared" si="14"/>
        <v>463050.00000000006</v>
      </c>
      <c r="I38" s="96">
        <f t="shared" si="14"/>
        <v>486202.50000000012</v>
      </c>
      <c r="J38" s="96">
        <f t="shared" si="14"/>
        <v>510512.62500000012</v>
      </c>
      <c r="K38" s="96">
        <f t="shared" si="14"/>
        <v>536038.25625000021</v>
      </c>
      <c r="P38" s="94"/>
    </row>
    <row r="39" spans="1:16">
      <c r="A39" s="391" t="s">
        <v>718</v>
      </c>
      <c r="B39" s="109"/>
      <c r="C39" s="300">
        <f t="shared" si="6"/>
        <v>300</v>
      </c>
      <c r="D39" s="300">
        <f t="shared" si="7"/>
        <v>2000</v>
      </c>
      <c r="E39" s="96">
        <f>$C$39*$D$39*E27</f>
        <v>600000</v>
      </c>
      <c r="F39" s="96">
        <f t="shared" ref="F39:K39" si="15">$C$39*$D$39*F27</f>
        <v>630000</v>
      </c>
      <c r="G39" s="96">
        <f t="shared" si="15"/>
        <v>661500</v>
      </c>
      <c r="H39" s="96">
        <f t="shared" si="15"/>
        <v>694575.00000000012</v>
      </c>
      <c r="I39" s="96">
        <f t="shared" si="15"/>
        <v>729303.75000000012</v>
      </c>
      <c r="J39" s="96">
        <f t="shared" si="15"/>
        <v>765768.93750000023</v>
      </c>
      <c r="K39" s="96">
        <f t="shared" si="15"/>
        <v>804057.38437500026</v>
      </c>
      <c r="P39" s="94"/>
    </row>
    <row r="40" spans="1:16">
      <c r="A40" s="391" t="s">
        <v>719</v>
      </c>
      <c r="B40" s="109"/>
      <c r="C40" s="300">
        <f t="shared" si="6"/>
        <v>300</v>
      </c>
      <c r="D40" s="300">
        <f t="shared" si="7"/>
        <v>2000</v>
      </c>
      <c r="E40" s="96">
        <f>$C$40*$D$40*E27</f>
        <v>600000</v>
      </c>
      <c r="F40" s="96">
        <f t="shared" ref="F40:K40" si="16">$C$40*$D$40*F27</f>
        <v>630000</v>
      </c>
      <c r="G40" s="96">
        <f t="shared" si="16"/>
        <v>661500</v>
      </c>
      <c r="H40" s="96">
        <f t="shared" si="16"/>
        <v>694575.00000000012</v>
      </c>
      <c r="I40" s="96">
        <f t="shared" si="16"/>
        <v>729303.75000000012</v>
      </c>
      <c r="J40" s="96">
        <f t="shared" si="16"/>
        <v>765768.93750000023</v>
      </c>
      <c r="K40" s="96">
        <f t="shared" si="16"/>
        <v>804057.38437500026</v>
      </c>
      <c r="P40" s="94"/>
    </row>
    <row r="41" spans="1:16">
      <c r="A41" s="391" t="s">
        <v>715</v>
      </c>
      <c r="B41" s="109"/>
      <c r="C41" s="300">
        <f t="shared" ref="C41:K41" si="17">H17</f>
        <v>160</v>
      </c>
      <c r="D41" s="300">
        <f t="shared" si="17"/>
        <v>4</v>
      </c>
      <c r="E41" s="300">
        <f t="shared" si="17"/>
        <v>640</v>
      </c>
      <c r="F41" s="300">
        <f t="shared" si="17"/>
        <v>2000</v>
      </c>
      <c r="G41" s="300">
        <f t="shared" si="17"/>
        <v>1</v>
      </c>
      <c r="H41" s="300">
        <f t="shared" si="17"/>
        <v>100</v>
      </c>
      <c r="I41" s="300">
        <f t="shared" si="17"/>
        <v>0</v>
      </c>
      <c r="J41" s="300">
        <f t="shared" si="17"/>
        <v>0</v>
      </c>
      <c r="K41" s="300">
        <f t="shared" si="17"/>
        <v>0</v>
      </c>
      <c r="P41" s="94"/>
    </row>
    <row r="42" spans="1:16">
      <c r="A42" s="391" t="s">
        <v>720</v>
      </c>
      <c r="B42" s="109"/>
      <c r="C42" s="300">
        <f t="shared" ref="C42:K42" si="18">H18</f>
        <v>160</v>
      </c>
      <c r="D42" s="300">
        <f t="shared" si="18"/>
        <v>4</v>
      </c>
      <c r="E42" s="300">
        <f t="shared" si="18"/>
        <v>640</v>
      </c>
      <c r="F42" s="300">
        <f t="shared" si="18"/>
        <v>2000</v>
      </c>
      <c r="G42" s="300">
        <f t="shared" si="18"/>
        <v>1</v>
      </c>
      <c r="H42" s="300">
        <f t="shared" si="18"/>
        <v>100</v>
      </c>
      <c r="I42" s="300">
        <f t="shared" si="18"/>
        <v>0</v>
      </c>
      <c r="J42" s="300">
        <f t="shared" si="18"/>
        <v>0</v>
      </c>
      <c r="K42" s="300">
        <f t="shared" si="18"/>
        <v>0</v>
      </c>
      <c r="P42" s="94"/>
    </row>
    <row r="43" spans="1:16">
      <c r="A43" s="391" t="s">
        <v>721</v>
      </c>
      <c r="B43" s="109"/>
      <c r="C43" s="300">
        <f t="shared" ref="C43:K43" si="19">H19</f>
        <v>200</v>
      </c>
      <c r="D43" s="300">
        <f t="shared" si="19"/>
        <v>4</v>
      </c>
      <c r="E43" s="300">
        <f t="shared" si="19"/>
        <v>800</v>
      </c>
      <c r="F43" s="300">
        <f t="shared" si="19"/>
        <v>2000</v>
      </c>
      <c r="G43" s="300">
        <f t="shared" si="19"/>
        <v>1</v>
      </c>
      <c r="H43" s="300">
        <f t="shared" si="19"/>
        <v>100</v>
      </c>
      <c r="I43" s="300">
        <f t="shared" si="19"/>
        <v>0</v>
      </c>
      <c r="J43" s="300">
        <f t="shared" si="19"/>
        <v>0</v>
      </c>
      <c r="K43" s="300">
        <f t="shared" si="19"/>
        <v>0</v>
      </c>
      <c r="P43" s="94"/>
    </row>
    <row r="44" spans="1:16">
      <c r="A44" s="391" t="s">
        <v>722</v>
      </c>
      <c r="B44" s="109"/>
      <c r="C44" s="300">
        <f t="shared" ref="C44:K44" si="20">H20</f>
        <v>75</v>
      </c>
      <c r="D44" s="300">
        <f t="shared" si="20"/>
        <v>4</v>
      </c>
      <c r="E44" s="300">
        <f t="shared" si="20"/>
        <v>300</v>
      </c>
      <c r="F44" s="300">
        <f t="shared" si="20"/>
        <v>2000</v>
      </c>
      <c r="G44" s="300">
        <f t="shared" si="20"/>
        <v>1</v>
      </c>
      <c r="H44" s="300">
        <f t="shared" si="20"/>
        <v>75</v>
      </c>
      <c r="I44" s="300">
        <f t="shared" si="20"/>
        <v>0</v>
      </c>
      <c r="J44" s="300">
        <f t="shared" si="20"/>
        <v>0</v>
      </c>
      <c r="K44" s="300">
        <f t="shared" si="20"/>
        <v>0</v>
      </c>
      <c r="P44" s="94"/>
    </row>
    <row r="45" spans="1:16">
      <c r="A45" s="109"/>
      <c r="B45" s="109"/>
      <c r="C45" s="300"/>
      <c r="D45" s="300"/>
      <c r="E45" s="96"/>
      <c r="F45" s="96"/>
      <c r="G45" s="96"/>
      <c r="H45" s="96"/>
      <c r="I45" s="96"/>
      <c r="J45" s="96"/>
      <c r="K45" s="96"/>
      <c r="P45" s="94"/>
    </row>
    <row r="46" spans="1:16">
      <c r="A46" s="109"/>
      <c r="B46" s="109"/>
      <c r="C46" s="300"/>
      <c r="D46" s="300"/>
      <c r="E46" s="96"/>
      <c r="F46" s="96"/>
      <c r="G46" s="96"/>
      <c r="H46" s="96"/>
      <c r="I46" s="96"/>
      <c r="J46" s="96"/>
      <c r="K46" s="96"/>
      <c r="P46" s="94"/>
    </row>
    <row r="47" spans="1:16">
      <c r="A47" s="109"/>
      <c r="B47" s="109"/>
      <c r="C47" s="300"/>
      <c r="D47" s="300"/>
      <c r="E47" s="96"/>
      <c r="F47" s="96"/>
      <c r="G47" s="96"/>
      <c r="H47" s="96"/>
      <c r="I47" s="96"/>
      <c r="J47" s="96"/>
      <c r="K47" s="96"/>
      <c r="P47" s="94"/>
    </row>
    <row r="48" spans="1:16">
      <c r="A48" s="97"/>
      <c r="B48" s="97"/>
      <c r="C48" s="300">
        <f>H22</f>
        <v>0</v>
      </c>
      <c r="D48" s="300">
        <f>K22</f>
        <v>0</v>
      </c>
      <c r="E48" s="96">
        <f>$C$48*$D$48*E27</f>
        <v>0</v>
      </c>
      <c r="F48" s="96">
        <f t="shared" ref="F48:K48" si="21">$C$48*$D$48*F27</f>
        <v>0</v>
      </c>
      <c r="G48" s="96">
        <f t="shared" si="21"/>
        <v>0</v>
      </c>
      <c r="H48" s="96">
        <f t="shared" si="21"/>
        <v>0</v>
      </c>
      <c r="I48" s="96">
        <f t="shared" si="21"/>
        <v>0</v>
      </c>
      <c r="J48" s="96">
        <f t="shared" si="21"/>
        <v>0</v>
      </c>
      <c r="K48" s="96">
        <f t="shared" si="21"/>
        <v>0</v>
      </c>
      <c r="P48" s="94"/>
    </row>
    <row r="49" spans="1:16">
      <c r="A49" s="97" t="s">
        <v>144</v>
      </c>
      <c r="B49" s="97"/>
      <c r="C49" s="101"/>
      <c r="D49" s="101"/>
      <c r="E49" s="96">
        <f>SUM(E32:E48)</f>
        <v>5202380</v>
      </c>
      <c r="F49" s="96">
        <f t="shared" ref="F49:K49" si="22">SUM(F32:F48)</f>
        <v>5468000</v>
      </c>
      <c r="G49" s="96">
        <f t="shared" si="22"/>
        <v>5733004</v>
      </c>
      <c r="H49" s="96">
        <f t="shared" si="22"/>
        <v>6020025.0000000009</v>
      </c>
      <c r="I49" s="96">
        <f t="shared" si="22"/>
        <v>6320632.5000000009</v>
      </c>
      <c r="J49" s="96">
        <f t="shared" si="22"/>
        <v>6636664.1250000009</v>
      </c>
      <c r="K49" s="96">
        <f t="shared" si="22"/>
        <v>6968497.3312500026</v>
      </c>
      <c r="P49" s="94"/>
    </row>
    <row r="50" spans="1:16">
      <c r="A50" s="95"/>
      <c r="B50" s="95"/>
      <c r="C50" s="99"/>
      <c r="D50" s="99"/>
      <c r="E50" s="96"/>
      <c r="F50" s="96"/>
      <c r="G50" s="96"/>
      <c r="H50" s="96"/>
      <c r="I50" s="96"/>
      <c r="J50" s="96"/>
      <c r="K50" s="96"/>
      <c r="P50" s="94"/>
    </row>
    <row r="51" spans="1:16">
      <c r="A51" s="97" t="s">
        <v>143</v>
      </c>
      <c r="B51" s="97"/>
      <c r="C51" s="101"/>
      <c r="D51" s="101"/>
      <c r="E51" s="96"/>
      <c r="F51" s="96"/>
      <c r="G51" s="96"/>
      <c r="H51" s="96"/>
      <c r="I51" s="96"/>
      <c r="J51" s="96"/>
      <c r="K51" s="96"/>
      <c r="P51" s="94"/>
    </row>
    <row r="52" spans="1:16">
      <c r="A52" s="97" t="s">
        <v>311</v>
      </c>
      <c r="B52" s="97"/>
      <c r="C52" s="101"/>
      <c r="D52" s="101"/>
      <c r="E52" s="96"/>
      <c r="F52" s="96"/>
      <c r="G52" s="96"/>
      <c r="H52" s="96"/>
      <c r="I52" s="96"/>
      <c r="J52" s="96"/>
      <c r="K52" s="96"/>
    </row>
    <row r="53" spans="1:16">
      <c r="A53" s="95" t="s">
        <v>312</v>
      </c>
      <c r="B53" s="95" t="s">
        <v>452</v>
      </c>
      <c r="C53" s="99">
        <v>27660</v>
      </c>
      <c r="D53" s="233">
        <v>100</v>
      </c>
      <c r="E53" s="96">
        <f>$C$53*$D$53*E27</f>
        <v>2766000</v>
      </c>
      <c r="F53" s="96">
        <f t="shared" ref="F53:K53" si="23">$C$53*$D$53*F27</f>
        <v>2904300</v>
      </c>
      <c r="G53" s="96">
        <f t="shared" si="23"/>
        <v>3049515</v>
      </c>
      <c r="H53" s="96">
        <f t="shared" si="23"/>
        <v>3201990.7500000005</v>
      </c>
      <c r="I53" s="96">
        <f t="shared" si="23"/>
        <v>3362090.2875000006</v>
      </c>
      <c r="J53" s="96">
        <f t="shared" si="23"/>
        <v>3530194.8018750008</v>
      </c>
      <c r="K53" s="96">
        <f t="shared" si="23"/>
        <v>3706704.5419687512</v>
      </c>
    </row>
    <row r="54" spans="1:16">
      <c r="A54" s="95" t="s">
        <v>313</v>
      </c>
      <c r="B54" s="95" t="s">
        <v>454</v>
      </c>
      <c r="C54" s="99">
        <f>SUM(M8:M21)</f>
        <v>2350</v>
      </c>
      <c r="D54" s="233">
        <v>300</v>
      </c>
      <c r="E54" s="96">
        <f>$C$54*$D$54*E27</f>
        <v>705000</v>
      </c>
      <c r="F54" s="96">
        <f t="shared" ref="F54:K54" si="24">$C$54*$D$54*F27</f>
        <v>740250</v>
      </c>
      <c r="G54" s="96">
        <f t="shared" si="24"/>
        <v>777262.5</v>
      </c>
      <c r="H54" s="96">
        <f t="shared" si="24"/>
        <v>816125.62500000012</v>
      </c>
      <c r="I54" s="96">
        <f t="shared" si="24"/>
        <v>856931.90625000012</v>
      </c>
      <c r="J54" s="96">
        <f t="shared" si="24"/>
        <v>899778.50156250026</v>
      </c>
      <c r="K54" s="96">
        <f t="shared" si="24"/>
        <v>944767.42664062534</v>
      </c>
    </row>
    <row r="55" spans="1:16">
      <c r="A55" s="95"/>
      <c r="B55" s="95"/>
      <c r="C55" s="233"/>
      <c r="D55" s="233"/>
      <c r="E55" s="96"/>
      <c r="F55" s="96"/>
      <c r="G55" s="96"/>
      <c r="H55" s="96"/>
      <c r="I55" s="96"/>
      <c r="J55" s="96"/>
      <c r="K55" s="96"/>
    </row>
    <row r="56" spans="1:16">
      <c r="A56" s="95"/>
      <c r="B56" s="95"/>
      <c r="C56" s="233"/>
      <c r="D56" s="233"/>
      <c r="E56" s="96"/>
      <c r="F56" s="96"/>
      <c r="G56" s="96"/>
      <c r="H56" s="96"/>
      <c r="I56" s="96"/>
      <c r="J56" s="96"/>
      <c r="K56" s="96"/>
    </row>
    <row r="57" spans="1:16">
      <c r="A57" s="95"/>
      <c r="B57" s="95"/>
      <c r="C57" s="233"/>
      <c r="D57" s="233"/>
      <c r="E57" s="96"/>
      <c r="F57" s="96"/>
      <c r="G57" s="96"/>
      <c r="H57" s="96"/>
      <c r="I57" s="96"/>
      <c r="J57" s="96"/>
      <c r="K57" s="96"/>
    </row>
    <row r="58" spans="1:16">
      <c r="A58" s="95"/>
      <c r="B58" s="95"/>
      <c r="C58" s="233"/>
      <c r="D58" s="233"/>
      <c r="E58" s="96"/>
      <c r="F58" s="96"/>
      <c r="G58" s="96"/>
      <c r="H58" s="96"/>
      <c r="I58" s="96"/>
      <c r="J58" s="96"/>
      <c r="K58" s="96"/>
    </row>
    <row r="59" spans="1:16">
      <c r="A59" s="97" t="s">
        <v>327</v>
      </c>
      <c r="B59" s="97"/>
      <c r="C59" s="238"/>
      <c r="D59" s="238"/>
      <c r="E59" s="115">
        <f>SUM(E53:E58)</f>
        <v>3471000</v>
      </c>
      <c r="F59" s="115">
        <f t="shared" ref="F59:K59" si="25">SUM(F53:F58)</f>
        <v>3644550</v>
      </c>
      <c r="G59" s="115">
        <f t="shared" si="25"/>
        <v>3826777.5</v>
      </c>
      <c r="H59" s="115">
        <f t="shared" si="25"/>
        <v>4018116.3750000005</v>
      </c>
      <c r="I59" s="115">
        <f t="shared" si="25"/>
        <v>4219022.1937500006</v>
      </c>
      <c r="J59" s="115">
        <f t="shared" si="25"/>
        <v>4429973.3034375012</v>
      </c>
      <c r="K59" s="115">
        <f t="shared" si="25"/>
        <v>4651471.9686093768</v>
      </c>
    </row>
    <row r="60" spans="1:16">
      <c r="A60" s="97"/>
      <c r="B60" s="97"/>
      <c r="C60" s="238"/>
      <c r="D60" s="238"/>
      <c r="E60" s="115"/>
      <c r="F60" s="115"/>
      <c r="G60" s="115"/>
      <c r="H60" s="115"/>
      <c r="I60" s="115"/>
      <c r="J60" s="115"/>
      <c r="K60" s="115"/>
    </row>
    <row r="61" spans="1:16">
      <c r="A61" s="196" t="s">
        <v>314</v>
      </c>
      <c r="B61" s="196"/>
      <c r="C61" s="259"/>
      <c r="D61" s="259"/>
      <c r="E61" s="96"/>
      <c r="F61" s="96"/>
      <c r="G61" s="96"/>
      <c r="H61" s="96"/>
      <c r="I61" s="96"/>
      <c r="J61" s="96"/>
      <c r="K61" s="96"/>
    </row>
    <row r="62" spans="1:16">
      <c r="A62" s="109" t="s">
        <v>315</v>
      </c>
      <c r="B62" s="95" t="s">
        <v>401</v>
      </c>
      <c r="C62" s="259">
        <v>5</v>
      </c>
      <c r="D62" s="260">
        <v>10000</v>
      </c>
      <c r="E62" s="96">
        <f t="shared" ref="E62:K62" si="26">$C$62*$D$62*12*E27</f>
        <v>600000</v>
      </c>
      <c r="F62" s="96">
        <f t="shared" si="26"/>
        <v>630000</v>
      </c>
      <c r="G62" s="96">
        <f t="shared" si="26"/>
        <v>661500</v>
      </c>
      <c r="H62" s="96">
        <f t="shared" si="26"/>
        <v>694575.00000000012</v>
      </c>
      <c r="I62" s="96">
        <f t="shared" si="26"/>
        <v>729303.75000000012</v>
      </c>
      <c r="J62" s="96">
        <f t="shared" si="26"/>
        <v>765768.93750000023</v>
      </c>
      <c r="K62" s="96">
        <f t="shared" si="26"/>
        <v>804057.38437500026</v>
      </c>
    </row>
    <row r="63" spans="1:16">
      <c r="A63" s="109"/>
      <c r="B63" s="109"/>
      <c r="C63" s="259"/>
      <c r="D63" s="260"/>
      <c r="E63" s="96"/>
      <c r="F63" s="96"/>
      <c r="G63" s="96"/>
      <c r="H63" s="96"/>
      <c r="I63" s="96"/>
      <c r="J63" s="96"/>
      <c r="K63" s="96"/>
    </row>
    <row r="64" spans="1:16">
      <c r="A64" s="109"/>
      <c r="B64" s="109"/>
      <c r="C64" s="259"/>
      <c r="D64" s="260"/>
      <c r="E64" s="96"/>
      <c r="F64" s="96"/>
      <c r="G64" s="96"/>
      <c r="H64" s="96"/>
      <c r="I64" s="96"/>
      <c r="J64" s="96"/>
      <c r="K64" s="96"/>
    </row>
    <row r="65" spans="1:12">
      <c r="A65" s="109"/>
      <c r="B65" s="109"/>
      <c r="C65" s="259"/>
      <c r="D65" s="260"/>
      <c r="E65" s="96"/>
      <c r="F65" s="96"/>
      <c r="G65" s="96"/>
      <c r="H65" s="96"/>
      <c r="I65" s="96"/>
      <c r="J65" s="96"/>
      <c r="K65" s="96"/>
    </row>
    <row r="66" spans="1:12">
      <c r="A66" s="97" t="s">
        <v>331</v>
      </c>
      <c r="B66" s="97"/>
      <c r="C66" s="97"/>
      <c r="D66" s="97"/>
      <c r="E66" s="115">
        <f>SUM(E62:E65)</f>
        <v>600000</v>
      </c>
      <c r="F66" s="115">
        <f t="shared" ref="F66:K66" si="27">SUM(F62:F65)</f>
        <v>630000</v>
      </c>
      <c r="G66" s="115">
        <f t="shared" si="27"/>
        <v>661500</v>
      </c>
      <c r="H66" s="115">
        <f t="shared" si="27"/>
        <v>694575.00000000012</v>
      </c>
      <c r="I66" s="115">
        <f t="shared" si="27"/>
        <v>729303.75000000012</v>
      </c>
      <c r="J66" s="115">
        <f t="shared" si="27"/>
        <v>765768.93750000023</v>
      </c>
      <c r="K66" s="115">
        <f t="shared" si="27"/>
        <v>804057.38437500026</v>
      </c>
    </row>
    <row r="67" spans="1:12">
      <c r="A67" s="97" t="s">
        <v>130</v>
      </c>
      <c r="B67" s="97"/>
      <c r="C67" s="97"/>
      <c r="D67" s="97"/>
      <c r="E67" s="115">
        <f>E59+E66</f>
        <v>4071000</v>
      </c>
      <c r="F67" s="115">
        <f t="shared" ref="F67:K67" si="28">F59+F66</f>
        <v>4274550</v>
      </c>
      <c r="G67" s="115">
        <f t="shared" si="28"/>
        <v>4488277.5</v>
      </c>
      <c r="H67" s="115">
        <f t="shared" si="28"/>
        <v>4712691.3750000009</v>
      </c>
      <c r="I67" s="115">
        <f t="shared" si="28"/>
        <v>4948325.9437500006</v>
      </c>
      <c r="J67" s="115">
        <f t="shared" si="28"/>
        <v>5195742.2409375012</v>
      </c>
      <c r="K67" s="115">
        <f t="shared" si="28"/>
        <v>5455529.3529843772</v>
      </c>
    </row>
    <row r="68" spans="1:12">
      <c r="A68" s="95"/>
      <c r="B68" s="95"/>
      <c r="C68" s="95"/>
      <c r="D68" s="95"/>
      <c r="E68" s="96"/>
      <c r="F68" s="96"/>
      <c r="G68" s="96"/>
      <c r="H68" s="96"/>
      <c r="I68" s="96"/>
      <c r="J68" s="96"/>
      <c r="K68" s="96"/>
    </row>
    <row r="69" spans="1:12">
      <c r="A69" s="97" t="s">
        <v>318</v>
      </c>
      <c r="B69" s="97"/>
      <c r="C69" s="97"/>
      <c r="D69" s="97"/>
      <c r="E69" s="115">
        <f t="shared" ref="E69:K69" si="29">E49-E67</f>
        <v>1131380</v>
      </c>
      <c r="F69" s="115">
        <f t="shared" si="29"/>
        <v>1193450</v>
      </c>
      <c r="G69" s="115">
        <f t="shared" si="29"/>
        <v>1244726.5</v>
      </c>
      <c r="H69" s="115">
        <f t="shared" si="29"/>
        <v>1307333.625</v>
      </c>
      <c r="I69" s="115">
        <f t="shared" si="29"/>
        <v>1372306.5562500004</v>
      </c>
      <c r="J69" s="115">
        <f t="shared" si="29"/>
        <v>1440921.8840624997</v>
      </c>
      <c r="K69" s="115">
        <f t="shared" si="29"/>
        <v>1512967.9782656254</v>
      </c>
    </row>
    <row r="70" spans="1:12">
      <c r="A70" s="276"/>
      <c r="B70" s="276"/>
      <c r="C70" s="276"/>
      <c r="D70" s="276"/>
      <c r="E70" s="277"/>
      <c r="F70" s="277"/>
      <c r="G70" s="277"/>
      <c r="H70" s="277"/>
      <c r="I70" s="277"/>
      <c r="J70" s="277"/>
      <c r="K70" s="277"/>
    </row>
    <row r="71" spans="1:12">
      <c r="A71" s="94"/>
      <c r="B71" s="94"/>
      <c r="C71" s="276"/>
      <c r="D71" s="276"/>
      <c r="E71" s="277"/>
      <c r="F71" s="277"/>
      <c r="G71" s="277"/>
      <c r="H71" s="277"/>
      <c r="I71" s="277"/>
      <c r="J71" s="277"/>
      <c r="K71" s="277"/>
    </row>
    <row r="72" spans="1:12">
      <c r="A72" s="422" t="s">
        <v>432</v>
      </c>
      <c r="B72" s="422"/>
      <c r="C72" s="422"/>
      <c r="D72" s="422"/>
      <c r="E72" s="422"/>
      <c r="F72" s="422"/>
      <c r="G72" s="422"/>
      <c r="H72" s="422"/>
      <c r="I72" s="422"/>
      <c r="J72" s="422"/>
      <c r="K72" s="422"/>
      <c r="L72" s="422"/>
    </row>
    <row r="75" spans="1:12">
      <c r="A75" t="s">
        <v>550</v>
      </c>
    </row>
    <row r="76" spans="1:12">
      <c r="A76">
        <v>1</v>
      </c>
      <c r="B76" t="s">
        <v>563</v>
      </c>
    </row>
    <row r="77" spans="1:12">
      <c r="A77">
        <v>2</v>
      </c>
      <c r="B77" t="s">
        <v>564</v>
      </c>
    </row>
    <row r="78" spans="1:12">
      <c r="A78">
        <v>3</v>
      </c>
      <c r="B78" s="94" t="s">
        <v>616</v>
      </c>
    </row>
  </sheetData>
  <mergeCells count="4">
    <mergeCell ref="A25:K25"/>
    <mergeCell ref="A3:L3"/>
    <mergeCell ref="A72:L72"/>
    <mergeCell ref="A4:L4"/>
  </mergeCells>
  <pageMargins left="0.70866141732283472" right="0.70866141732283472" top="0.74803149606299213" bottom="0.74803149606299213" header="0.31496062992125984" footer="0.31496062992125984"/>
  <pageSetup paperSize="9" scale="59" orientation="landscape" r:id="rId1"/>
  <rowBreaks count="1" manualBreakCount="1">
    <brk id="24" max="12" man="1"/>
  </rowBreaks>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56" zoomScale="80" zoomScaleSheetLayoutView="80" workbookViewId="0">
      <selection activeCell="C296" sqref="C296"/>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21" t="s">
        <v>609</v>
      </c>
      <c r="B2" s="421"/>
      <c r="C2" s="421"/>
      <c r="D2" s="421"/>
      <c r="E2" s="421"/>
      <c r="F2" s="421"/>
      <c r="G2" s="421"/>
      <c r="H2" s="421"/>
      <c r="I2" s="421"/>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566</v>
      </c>
      <c r="B7" s="99"/>
      <c r="C7" s="99"/>
      <c r="D7" s="99"/>
      <c r="E7" s="99"/>
      <c r="F7" s="99"/>
      <c r="G7" s="99"/>
      <c r="H7" s="99"/>
      <c r="I7" s="99"/>
    </row>
    <row r="8" spans="1:9">
      <c r="A8" s="101" t="s">
        <v>180</v>
      </c>
      <c r="B8" s="205"/>
      <c r="C8" s="258"/>
      <c r="D8" s="258"/>
      <c r="E8" s="258"/>
      <c r="F8" s="258"/>
      <c r="G8" s="258"/>
      <c r="H8" s="258"/>
      <c r="I8" s="258"/>
    </row>
    <row r="9" spans="1:9">
      <c r="A9" s="99" t="str">
        <f>'10.Grain Production details'!A92</f>
        <v>Soybean</v>
      </c>
      <c r="B9" s="205"/>
      <c r="C9" s="258">
        <v>0</v>
      </c>
      <c r="D9" s="258">
        <v>0</v>
      </c>
      <c r="E9" s="258">
        <v>0</v>
      </c>
      <c r="F9" s="258">
        <v>0</v>
      </c>
      <c r="G9" s="258">
        <v>0</v>
      </c>
      <c r="H9" s="258">
        <v>0</v>
      </c>
      <c r="I9" s="258">
        <v>0</v>
      </c>
    </row>
    <row r="10" spans="1:9">
      <c r="A10" s="99" t="str">
        <f>'10.Grain Production details'!A93</f>
        <v>Red Gram/Tur</v>
      </c>
      <c r="B10" s="205"/>
      <c r="C10" s="258">
        <f>'10.Grain Production details'!B93</f>
        <v>0</v>
      </c>
      <c r="D10" s="258">
        <f>'10.Grain Production details'!C93</f>
        <v>0</v>
      </c>
      <c r="E10" s="258">
        <f>'10.Grain Production details'!D93</f>
        <v>0</v>
      </c>
      <c r="F10" s="258">
        <f>'10.Grain Production details'!E93</f>
        <v>0</v>
      </c>
      <c r="G10" s="258">
        <f>'10.Grain Production details'!F93</f>
        <v>0</v>
      </c>
      <c r="H10" s="258">
        <f>'10.Grain Production details'!G93</f>
        <v>0</v>
      </c>
      <c r="I10" s="258">
        <f>'10.Grain Production details'!H93</f>
        <v>0</v>
      </c>
    </row>
    <row r="11" spans="1:9">
      <c r="A11" s="99" t="str">
        <f>'10.Grain Production details'!A94</f>
        <v>Paddy/Rice</v>
      </c>
      <c r="B11" s="205"/>
      <c r="C11" s="258">
        <f>'10.Grain Production details'!B94</f>
        <v>0</v>
      </c>
      <c r="D11" s="258">
        <f>'10.Grain Production details'!C94</f>
        <v>0</v>
      </c>
      <c r="E11" s="258">
        <f>'10.Grain Production details'!D94</f>
        <v>0</v>
      </c>
      <c r="F11" s="258">
        <f>'10.Grain Production details'!E94</f>
        <v>0</v>
      </c>
      <c r="G11" s="258">
        <f>'10.Grain Production details'!F94</f>
        <v>0</v>
      </c>
      <c r="H11" s="258">
        <f>'10.Grain Production details'!G94</f>
        <v>0</v>
      </c>
      <c r="I11" s="258">
        <f>'10.Grain Production details'!H94</f>
        <v>0</v>
      </c>
    </row>
    <row r="12" spans="1:9">
      <c r="A12" s="99" t="str">
        <f>'10.Grain Production details'!A95</f>
        <v>Green Gram/ Moong</v>
      </c>
      <c r="B12" s="205"/>
      <c r="C12" s="258">
        <f>'10.Grain Production details'!B95</f>
        <v>0</v>
      </c>
      <c r="D12" s="258">
        <f>'10.Grain Production details'!C95</f>
        <v>0</v>
      </c>
      <c r="E12" s="258">
        <f>'10.Grain Production details'!D95</f>
        <v>0</v>
      </c>
      <c r="F12" s="258">
        <f>'10.Grain Production details'!E95</f>
        <v>0</v>
      </c>
      <c r="G12" s="258">
        <f>'10.Grain Production details'!F95</f>
        <v>0</v>
      </c>
      <c r="H12" s="258">
        <f>'10.Grain Production details'!G95</f>
        <v>0</v>
      </c>
      <c r="I12" s="258">
        <f>'10.Grain Production details'!H95</f>
        <v>0</v>
      </c>
    </row>
    <row r="13" spans="1:9">
      <c r="A13" s="99" t="str">
        <f>'10.Grain Production details'!A96</f>
        <v>Maize</v>
      </c>
      <c r="B13" s="205"/>
      <c r="C13" s="258">
        <f>'10.Grain Production details'!B96</f>
        <v>0</v>
      </c>
      <c r="D13" s="258">
        <f>'10.Grain Production details'!C96</f>
        <v>0</v>
      </c>
      <c r="E13" s="258">
        <f>'10.Grain Production details'!D96</f>
        <v>0</v>
      </c>
      <c r="F13" s="258">
        <f>'10.Grain Production details'!E96</f>
        <v>0</v>
      </c>
      <c r="G13" s="258">
        <f>'10.Grain Production details'!F96</f>
        <v>0</v>
      </c>
      <c r="H13" s="258">
        <f>'10.Grain Production details'!G96</f>
        <v>0</v>
      </c>
      <c r="I13" s="258">
        <f>'10.Grain Production details'!H96</f>
        <v>0</v>
      </c>
    </row>
    <row r="14" spans="1:9">
      <c r="A14" s="99" t="str">
        <f>'10.Grain Production details'!A97</f>
        <v>Black Gram/Udid</v>
      </c>
      <c r="B14" s="205"/>
      <c r="C14" s="258">
        <f>'10.Grain Production details'!B97</f>
        <v>0</v>
      </c>
      <c r="D14" s="258">
        <f>'10.Grain Production details'!C97</f>
        <v>0</v>
      </c>
      <c r="E14" s="258">
        <f>'10.Grain Production details'!D97</f>
        <v>0</v>
      </c>
      <c r="F14" s="258">
        <f>'10.Grain Production details'!E97</f>
        <v>0</v>
      </c>
      <c r="G14" s="258">
        <f>'10.Grain Production details'!F97</f>
        <v>0</v>
      </c>
      <c r="H14" s="258">
        <f>'10.Grain Production details'!G97</f>
        <v>0</v>
      </c>
      <c r="I14" s="258">
        <f>'10.Grain Production details'!H97</f>
        <v>0</v>
      </c>
    </row>
    <row r="15" spans="1:9">
      <c r="A15" s="99" t="str">
        <f>'10.Grain Production details'!A98</f>
        <v>Bajra</v>
      </c>
      <c r="B15" s="205"/>
      <c r="C15" s="258">
        <f>'10.Grain Production details'!B98</f>
        <v>0</v>
      </c>
      <c r="D15" s="258">
        <f>'10.Grain Production details'!C98</f>
        <v>0</v>
      </c>
      <c r="E15" s="258">
        <f>'10.Grain Production details'!D98</f>
        <v>0</v>
      </c>
      <c r="F15" s="258">
        <f>'10.Grain Production details'!E98</f>
        <v>0</v>
      </c>
      <c r="G15" s="258">
        <f>'10.Grain Production details'!F98</f>
        <v>0</v>
      </c>
      <c r="H15" s="258">
        <f>'10.Grain Production details'!G98</f>
        <v>0</v>
      </c>
      <c r="I15" s="258">
        <f>'10.Grain Production details'!H98</f>
        <v>0</v>
      </c>
    </row>
    <row r="16" spans="1:9">
      <c r="A16" s="99" t="str">
        <f>'10.Grain Production details'!A99</f>
        <v>Jawar</v>
      </c>
      <c r="B16" s="205"/>
      <c r="C16" s="258">
        <f>'10.Grain Production details'!B99</f>
        <v>0</v>
      </c>
      <c r="D16" s="258">
        <f>'10.Grain Production details'!C99</f>
        <v>0</v>
      </c>
      <c r="E16" s="258">
        <f>'10.Grain Production details'!D99</f>
        <v>0</v>
      </c>
      <c r="F16" s="258">
        <f>'10.Grain Production details'!E99</f>
        <v>0</v>
      </c>
      <c r="G16" s="258">
        <f>'10.Grain Production details'!F99</f>
        <v>0</v>
      </c>
      <c r="H16" s="258">
        <f>'10.Grain Production details'!G99</f>
        <v>0</v>
      </c>
      <c r="I16" s="258">
        <f>'10.Grain Production details'!H99</f>
        <v>0</v>
      </c>
    </row>
    <row r="17" spans="1:9">
      <c r="A17" s="101" t="s">
        <v>184</v>
      </c>
      <c r="B17" s="205"/>
      <c r="C17" s="258"/>
      <c r="D17" s="258"/>
      <c r="E17" s="258"/>
      <c r="F17" s="258"/>
      <c r="G17" s="258"/>
      <c r="H17" s="258"/>
      <c r="I17" s="258"/>
    </row>
    <row r="18" spans="1:9">
      <c r="A18" s="99" t="str">
        <f>'10.Grain Production details'!A101</f>
        <v>Wheat</v>
      </c>
      <c r="B18" s="205"/>
      <c r="C18" s="258">
        <f>'10.Grain Production details'!B101</f>
        <v>0</v>
      </c>
      <c r="D18" s="258">
        <f>'10.Grain Production details'!C101</f>
        <v>0</v>
      </c>
      <c r="E18" s="258">
        <f>'10.Grain Production details'!D101</f>
        <v>0</v>
      </c>
      <c r="F18" s="258">
        <f>'10.Grain Production details'!E101</f>
        <v>0</v>
      </c>
      <c r="G18" s="258">
        <f>'10.Grain Production details'!F101</f>
        <v>0</v>
      </c>
      <c r="H18" s="258">
        <f>'10.Grain Production details'!G101</f>
        <v>0</v>
      </c>
      <c r="I18" s="258">
        <f>'10.Grain Production details'!H101</f>
        <v>0</v>
      </c>
    </row>
    <row r="19" spans="1:9">
      <c r="A19" s="99" t="str">
        <f>'10.Grain Production details'!A102</f>
        <v>Bengal Gram/Channa</v>
      </c>
      <c r="B19" s="205"/>
      <c r="C19" s="258">
        <f>'10.Grain Production details'!B102</f>
        <v>0</v>
      </c>
      <c r="D19" s="258">
        <f>'10.Grain Production details'!C102</f>
        <v>0</v>
      </c>
      <c r="E19" s="258">
        <f>'10.Grain Production details'!D102</f>
        <v>0</v>
      </c>
      <c r="F19" s="258">
        <f>'10.Grain Production details'!E102</f>
        <v>0</v>
      </c>
      <c r="G19" s="258">
        <f>'10.Grain Production details'!F102</f>
        <v>0</v>
      </c>
      <c r="H19" s="258">
        <f>'10.Grain Production details'!G102</f>
        <v>0</v>
      </c>
      <c r="I19" s="258">
        <f>'10.Grain Production details'!H102</f>
        <v>0</v>
      </c>
    </row>
    <row r="20" spans="1:9">
      <c r="A20" s="99" t="str">
        <f>'10.Grain Production details'!A103</f>
        <v>Jawar</v>
      </c>
      <c r="B20" s="205"/>
      <c r="C20" s="258">
        <f>'10.Grain Production details'!B103</f>
        <v>0</v>
      </c>
      <c r="D20" s="258">
        <f>'10.Grain Production details'!C103</f>
        <v>0</v>
      </c>
      <c r="E20" s="258">
        <f>'10.Grain Production details'!D103</f>
        <v>0</v>
      </c>
      <c r="F20" s="258">
        <f>'10.Grain Production details'!E103</f>
        <v>0</v>
      </c>
      <c r="G20" s="258">
        <f>'10.Grain Production details'!F103</f>
        <v>0</v>
      </c>
      <c r="H20" s="258">
        <f>'10.Grain Production details'!G103</f>
        <v>0</v>
      </c>
      <c r="I20" s="258">
        <f>'10.Grain Production details'!H103</f>
        <v>0</v>
      </c>
    </row>
    <row r="21" spans="1:9">
      <c r="A21" s="99" t="str">
        <f>'10.Grain Production details'!A104</f>
        <v>Maize</v>
      </c>
      <c r="B21" s="205"/>
      <c r="C21" s="258">
        <v>0</v>
      </c>
      <c r="D21" s="258">
        <v>0</v>
      </c>
      <c r="E21" s="258">
        <v>0</v>
      </c>
      <c r="F21" s="258">
        <v>0</v>
      </c>
      <c r="G21" s="258">
        <v>0</v>
      </c>
      <c r="H21" s="258">
        <v>0</v>
      </c>
      <c r="I21" s="258">
        <v>0</v>
      </c>
    </row>
    <row r="22" spans="1:9">
      <c r="A22" s="99" t="str">
        <f>'10.Grain Production details'!A105</f>
        <v>Safflower</v>
      </c>
      <c r="B22" s="205"/>
      <c r="C22" s="258">
        <f>'10.Grain Production details'!B105</f>
        <v>0</v>
      </c>
      <c r="D22" s="258">
        <f>'10.Grain Production details'!C105</f>
        <v>0</v>
      </c>
      <c r="E22" s="258">
        <f>'10.Grain Production details'!D105</f>
        <v>0</v>
      </c>
      <c r="F22" s="258">
        <f>'10.Grain Production details'!E105</f>
        <v>0</v>
      </c>
      <c r="G22" s="258">
        <f>'10.Grain Production details'!F105</f>
        <v>0</v>
      </c>
      <c r="H22" s="258">
        <f>'10.Grain Production details'!G105</f>
        <v>0</v>
      </c>
      <c r="I22" s="258">
        <f>'10.Grain Production details'!H105</f>
        <v>0</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Custard Apple</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Guava</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Citrus</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3">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3">
        <v>15</v>
      </c>
      <c r="C64" s="206">
        <f>$B64*C11</f>
        <v>0</v>
      </c>
      <c r="D64" s="206">
        <f t="shared" ref="D64:I64" si="3">$B$64*D11</f>
        <v>0</v>
      </c>
      <c r="E64" s="206">
        <f t="shared" si="3"/>
        <v>0</v>
      </c>
      <c r="F64" s="206">
        <f t="shared" si="3"/>
        <v>0</v>
      </c>
      <c r="G64" s="206">
        <f t="shared" si="3"/>
        <v>0</v>
      </c>
      <c r="H64" s="206">
        <f t="shared" si="3"/>
        <v>0</v>
      </c>
      <c r="I64" s="206">
        <f t="shared" si="3"/>
        <v>0</v>
      </c>
    </row>
    <row r="65" spans="1:9">
      <c r="A65" s="99" t="str">
        <f t="shared" si="0"/>
        <v>Green Gram/ Moong</v>
      </c>
      <c r="B65" s="233">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Bengal Gram/Channa</v>
      </c>
      <c r="B72" s="233">
        <v>25</v>
      </c>
      <c r="C72" s="206">
        <f t="shared" ref="C72:I72" si="8">$B72*C19</f>
        <v>0</v>
      </c>
      <c r="D72" s="206">
        <f t="shared" si="8"/>
        <v>0</v>
      </c>
      <c r="E72" s="206">
        <f t="shared" si="8"/>
        <v>0</v>
      </c>
      <c r="F72" s="206">
        <f t="shared" si="8"/>
        <v>0</v>
      </c>
      <c r="G72" s="206">
        <f t="shared" si="8"/>
        <v>0</v>
      </c>
      <c r="H72" s="206">
        <f t="shared" si="8"/>
        <v>0</v>
      </c>
      <c r="I72" s="206">
        <f t="shared" si="8"/>
        <v>0</v>
      </c>
    </row>
    <row r="73" spans="1:9">
      <c r="A73" s="99" t="str">
        <f t="shared" si="0"/>
        <v>Jawar</v>
      </c>
      <c r="B73" s="233">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3">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187</v>
      </c>
      <c r="B113" s="99"/>
      <c r="C113" s="99"/>
      <c r="D113" s="99"/>
      <c r="E113" s="99"/>
      <c r="F113" s="99"/>
      <c r="G113" s="99"/>
      <c r="H113" s="99"/>
      <c r="I113" s="99"/>
    </row>
    <row r="114" spans="1:23">
      <c r="A114" s="99" t="s">
        <v>418</v>
      </c>
      <c r="B114" s="233">
        <v>100</v>
      </c>
      <c r="C114" s="206">
        <f>SUM(C62:C110)*$B$114</f>
        <v>0</v>
      </c>
      <c r="D114" s="206">
        <f t="shared" ref="D114:I114" si="46">SUM(D62:D110)*$B$114</f>
        <v>0</v>
      </c>
      <c r="E114" s="206">
        <f t="shared" si="46"/>
        <v>0</v>
      </c>
      <c r="F114" s="206">
        <f t="shared" si="46"/>
        <v>0</v>
      </c>
      <c r="G114" s="206">
        <f t="shared" si="46"/>
        <v>0</v>
      </c>
      <c r="H114" s="206">
        <f t="shared" si="46"/>
        <v>0</v>
      </c>
      <c r="I114" s="206">
        <f t="shared" si="46"/>
        <v>0</v>
      </c>
    </row>
    <row r="115" spans="1:23">
      <c r="A115" s="99" t="s">
        <v>181</v>
      </c>
      <c r="B115" s="233">
        <v>30</v>
      </c>
      <c r="C115" s="206">
        <f>SUM(C62:C110)*$B$115</f>
        <v>0</v>
      </c>
      <c r="D115" s="206">
        <f t="shared" ref="D115:I115" si="47">SUM(D62:D110)*$B$115</f>
        <v>0</v>
      </c>
      <c r="E115" s="206">
        <f t="shared" si="47"/>
        <v>0</v>
      </c>
      <c r="F115" s="206">
        <f t="shared" si="47"/>
        <v>0</v>
      </c>
      <c r="G115" s="206">
        <f t="shared" si="47"/>
        <v>0</v>
      </c>
      <c r="H115" s="206">
        <f t="shared" si="47"/>
        <v>0</v>
      </c>
      <c r="I115" s="206">
        <f t="shared" si="47"/>
        <v>0</v>
      </c>
    </row>
    <row r="116" spans="1:23">
      <c r="A116" s="99" t="s">
        <v>183</v>
      </c>
      <c r="B116" s="233">
        <v>30</v>
      </c>
      <c r="C116" s="206">
        <f>SUM(C62:C110)*$B$116</f>
        <v>0</v>
      </c>
      <c r="D116" s="206">
        <f t="shared" ref="D116:I116" si="48">SUM(D62:D110)*$B$116</f>
        <v>0</v>
      </c>
      <c r="E116" s="206">
        <f t="shared" si="48"/>
        <v>0</v>
      </c>
      <c r="F116" s="206">
        <f t="shared" si="48"/>
        <v>0</v>
      </c>
      <c r="G116" s="206">
        <f t="shared" si="48"/>
        <v>0</v>
      </c>
      <c r="H116" s="206">
        <f t="shared" si="48"/>
        <v>0</v>
      </c>
      <c r="I116" s="206">
        <f t="shared" si="48"/>
        <v>0</v>
      </c>
    </row>
    <row r="117" spans="1:23">
      <c r="A117" s="101" t="s">
        <v>182</v>
      </c>
      <c r="B117" s="233"/>
      <c r="C117" s="99"/>
      <c r="D117" s="99"/>
      <c r="E117" s="99"/>
      <c r="F117" s="99"/>
      <c r="G117" s="99"/>
      <c r="H117" s="99"/>
      <c r="I117" s="99"/>
    </row>
    <row r="118" spans="1:23">
      <c r="A118" s="99" t="s">
        <v>188</v>
      </c>
      <c r="B118" s="233">
        <v>0.2</v>
      </c>
      <c r="C118" s="206">
        <f>SUM(C62:C110)*$B$118</f>
        <v>0</v>
      </c>
      <c r="D118" s="206">
        <f t="shared" ref="D118:I118" si="49">SUM(D62:D110)*$B$118</f>
        <v>0</v>
      </c>
      <c r="E118" s="206">
        <f t="shared" si="49"/>
        <v>0</v>
      </c>
      <c r="F118" s="206">
        <f t="shared" si="49"/>
        <v>0</v>
      </c>
      <c r="G118" s="206">
        <f t="shared" si="49"/>
        <v>0</v>
      </c>
      <c r="H118" s="206">
        <f t="shared" si="49"/>
        <v>0</v>
      </c>
      <c r="I118" s="206">
        <f t="shared" si="49"/>
        <v>0</v>
      </c>
    </row>
    <row r="119" spans="1:23">
      <c r="A119" s="99" t="s">
        <v>189</v>
      </c>
      <c r="B119" s="233">
        <v>0.5</v>
      </c>
      <c r="C119" s="206">
        <f>SUM(C62:C110)*$B$119</f>
        <v>0</v>
      </c>
      <c r="D119" s="206">
        <f t="shared" ref="D119:I119" si="50">SUM(D62:D110)*$B$119</f>
        <v>0</v>
      </c>
      <c r="E119" s="206">
        <f t="shared" si="50"/>
        <v>0</v>
      </c>
      <c r="F119" s="206">
        <f t="shared" si="50"/>
        <v>0</v>
      </c>
      <c r="G119" s="206">
        <f t="shared" si="50"/>
        <v>0</v>
      </c>
      <c r="H119" s="206">
        <f t="shared" si="50"/>
        <v>0</v>
      </c>
      <c r="I119" s="206">
        <f t="shared" si="50"/>
        <v>0</v>
      </c>
    </row>
    <row r="122" spans="1:23" ht="18.75">
      <c r="A122" s="421" t="s">
        <v>610</v>
      </c>
      <c r="B122" s="421"/>
      <c r="C122" s="421"/>
      <c r="D122" s="421"/>
      <c r="E122" s="421"/>
      <c r="F122" s="421"/>
      <c r="G122" s="421"/>
      <c r="H122" s="421"/>
      <c r="I122" s="421"/>
      <c r="J122" s="421"/>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290</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7">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7">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7">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57">
        <v>75</v>
      </c>
      <c r="D140" s="96">
        <f>(C72*(1-'5.Closing Stock &amp; W Capital'!$D$15))*$C$140*D$124</f>
        <v>0</v>
      </c>
      <c r="E140" s="96">
        <f>((D72*(1-'5.Closing Stock &amp; W Capital'!$D$15))+(C72*'5.Closing Stock &amp; W Capital'!$D$15))*$C$140*E$124</f>
        <v>0</v>
      </c>
      <c r="F140" s="96">
        <f>((E72*(1-'5.Closing Stock &amp; W Capital'!$D$15))+(D72*'5.Closing Stock &amp; W Capital'!$D$15))*$C$140*F$124</f>
        <v>0</v>
      </c>
      <c r="G140" s="96">
        <f>((F72*(1-'5.Closing Stock &amp; W Capital'!$D$15))+(E72*'5.Closing Stock &amp; W Capital'!$D$15))*$C$140*G$124</f>
        <v>0</v>
      </c>
      <c r="H140" s="96">
        <f>((G72*(1-'5.Closing Stock &amp; W Capital'!$D$15))+(F72*'5.Closing Stock &amp; W Capital'!$D$15))*$C$140*H$124</f>
        <v>0</v>
      </c>
      <c r="I140" s="96">
        <f>((H72*(1-'5.Closing Stock &amp; W Capital'!$D$15))+(G72*'5.Closing Stock &amp; W Capital'!$D$15))*$C$140*I$124</f>
        <v>0</v>
      </c>
      <c r="J140" s="96">
        <f>((I72*(1-'5.Closing Stock &amp; W Capital'!$D$15))+(H72*'5.Closing Stock &amp; W Capital'!$D$15))*$C$140*J$124</f>
        <v>0</v>
      </c>
      <c r="K140" s="94"/>
      <c r="U140" s="94"/>
      <c r="V140" s="94"/>
      <c r="W140" s="94"/>
    </row>
    <row r="141" spans="1:23">
      <c r="A141" s="95" t="str">
        <f t="shared" si="52"/>
        <v>Jawar</v>
      </c>
      <c r="B141" s="95"/>
      <c r="C141" s="257">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7">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291</v>
      </c>
      <c r="B181" s="95"/>
      <c r="C181" s="96"/>
      <c r="D181" s="96"/>
      <c r="E181" s="96"/>
      <c r="F181" s="96"/>
      <c r="G181" s="96"/>
      <c r="H181" s="96"/>
      <c r="I181" s="96"/>
      <c r="J181" s="96"/>
      <c r="K181" s="94"/>
      <c r="U181" s="94"/>
      <c r="V181" s="94"/>
      <c r="W181" s="94"/>
    </row>
    <row r="182" spans="1:23">
      <c r="A182" s="95" t="s">
        <v>418</v>
      </c>
      <c r="B182" s="95"/>
      <c r="C182" s="257">
        <f>350/50</f>
        <v>7</v>
      </c>
      <c r="D182" s="96">
        <f>(C114*(1-'5.Closing Stock &amp; W Capital'!$D$15))*$C$182*D124</f>
        <v>0</v>
      </c>
      <c r="E182" s="96">
        <f>((D114*(1-'5.Closing Stock &amp; W Capital'!$D$15))+(C114*'5.Closing Stock &amp; W Capital'!$D$15))*$C$182*E124</f>
        <v>0</v>
      </c>
      <c r="F182" s="96">
        <f>((E114*(1-'5.Closing Stock &amp; W Capital'!$D$15))+(D114*'5.Closing Stock &amp; W Capital'!$D$15))*$C$182*F124</f>
        <v>0</v>
      </c>
      <c r="G182" s="96">
        <f>((F114*(1-'5.Closing Stock &amp; W Capital'!$D$15))+(E114*'5.Closing Stock &amp; W Capital'!$D$15))*$C$182*G124</f>
        <v>0</v>
      </c>
      <c r="H182" s="96">
        <f>((G114*(1-'5.Closing Stock &amp; W Capital'!$D$15))+(F114*'5.Closing Stock &amp; W Capital'!$D$15))*$C$182*H124</f>
        <v>0</v>
      </c>
      <c r="I182" s="96">
        <f>((H114*(1-'5.Closing Stock &amp; W Capital'!$D$15))+(G114*'5.Closing Stock &amp; W Capital'!$D$15))*$C$182*I124</f>
        <v>0</v>
      </c>
      <c r="J182" s="96">
        <f>((I114*(1-'5.Closing Stock &amp; W Capital'!$D$15))+(H114*'5.Closing Stock &amp; W Capital'!$D$15))*$C$182*J124</f>
        <v>0</v>
      </c>
      <c r="K182" s="94"/>
      <c r="U182" s="94"/>
      <c r="V182" s="94"/>
      <c r="W182" s="94"/>
    </row>
    <row r="183" spans="1:23">
      <c r="A183" s="95" t="s">
        <v>181</v>
      </c>
      <c r="B183" s="95"/>
      <c r="C183" s="257">
        <v>8</v>
      </c>
      <c r="D183" s="96">
        <f>(C115*(1-'5.Closing Stock &amp; W Capital'!$D$15))*$C$183*D124</f>
        <v>0</v>
      </c>
      <c r="E183" s="96">
        <f>((D115*(1-'5.Closing Stock &amp; W Capital'!$D$15))+(C115*'5.Closing Stock &amp; W Capital'!$D$15))*$C$183*E124</f>
        <v>0</v>
      </c>
      <c r="F183" s="96">
        <f>((E115*(1-'5.Closing Stock &amp; W Capital'!$D$15))+(D115*'5.Closing Stock &amp; W Capital'!$D$15))*$C$183*F124</f>
        <v>0</v>
      </c>
      <c r="G183" s="96">
        <f>((F115*(1-'5.Closing Stock &amp; W Capital'!$D$15))+(E115*'5.Closing Stock &amp; W Capital'!$D$15))*$C$183*G124</f>
        <v>0</v>
      </c>
      <c r="H183" s="96">
        <f>((G115*(1-'5.Closing Stock &amp; W Capital'!$D$15))+(F115*'5.Closing Stock &amp; W Capital'!$D$15))*$C$183*H124</f>
        <v>0</v>
      </c>
      <c r="I183" s="96">
        <f>((H115*(1-'5.Closing Stock &amp; W Capital'!$D$15))+(G115*'5.Closing Stock &amp; W Capital'!$D$15))*$C$183*I124</f>
        <v>0</v>
      </c>
      <c r="J183" s="96">
        <f>((I115*(1-'5.Closing Stock &amp; W Capital'!$D$15))+(H115*'5.Closing Stock &amp; W Capital'!$D$15))*$C$183*J124</f>
        <v>0</v>
      </c>
      <c r="K183" s="94"/>
      <c r="U183" s="94"/>
      <c r="V183" s="94"/>
      <c r="W183" s="94"/>
    </row>
    <row r="184" spans="1:23">
      <c r="A184" s="95" t="s">
        <v>183</v>
      </c>
      <c r="B184" s="95"/>
      <c r="C184" s="257">
        <v>30</v>
      </c>
      <c r="D184" s="96">
        <f>(C116*(1-'5.Closing Stock &amp; W Capital'!$D$15))*$C$184*D124</f>
        <v>0</v>
      </c>
      <c r="E184" s="96">
        <f>((D116*(1-'5.Closing Stock &amp; W Capital'!$D$15))+(C116*'5.Closing Stock &amp; W Capital'!$D$15))*$C$184*E124</f>
        <v>0</v>
      </c>
      <c r="F184" s="96">
        <f>((E116*(1-'5.Closing Stock &amp; W Capital'!$D$15))+(D116*'5.Closing Stock &amp; W Capital'!$D$15))*$C$184*F124</f>
        <v>0</v>
      </c>
      <c r="G184" s="96">
        <f>((F116*(1-'5.Closing Stock &amp; W Capital'!$D$15))+(E116*'5.Closing Stock &amp; W Capital'!$D$15))*$C$184*G124</f>
        <v>0</v>
      </c>
      <c r="H184" s="96">
        <f>((G116*(1-'5.Closing Stock &amp; W Capital'!$D$15))+(F116*'5.Closing Stock &amp; W Capital'!$D$15))*$C$184*H124</f>
        <v>0</v>
      </c>
      <c r="I184" s="96">
        <f>((H116*(1-'5.Closing Stock &amp; W Capital'!$D$15))+(G116*'5.Closing Stock &amp; W Capital'!$D$15))*$C$184*I124</f>
        <v>0</v>
      </c>
      <c r="J184" s="96">
        <f>((I116*(1-'5.Closing Stock &amp; W Capital'!$D$15))+(H116*'5.Closing Stock &amp; W Capital'!$D$15))*$C$184*J124</f>
        <v>0</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57">
        <v>3000</v>
      </c>
      <c r="D187" s="96">
        <f>(C118*(1-'5.Closing Stock &amp; W Capital'!$D$15))*$C$187*D124</f>
        <v>0</v>
      </c>
      <c r="E187" s="96">
        <f>((D118*(1-'5.Closing Stock &amp; W Capital'!$D$15))+(C118*'5.Closing Stock &amp; W Capital'!$D$15))*$C$187*E124</f>
        <v>0</v>
      </c>
      <c r="F187" s="96">
        <f>((E118*(1-'5.Closing Stock &amp; W Capital'!$D$15))+(D118*'5.Closing Stock &amp; W Capital'!$D$15))*$C$187*F124</f>
        <v>0</v>
      </c>
      <c r="G187" s="96">
        <f>((F118*(1-'5.Closing Stock &amp; W Capital'!$D$15))+(E118*'5.Closing Stock &amp; W Capital'!$D$15))*$C$187*G124</f>
        <v>0</v>
      </c>
      <c r="H187" s="96">
        <f>((G118*(1-'5.Closing Stock &amp; W Capital'!$D$15))+(F118*'5.Closing Stock &amp; W Capital'!$D$15))*$C$187*H124</f>
        <v>0</v>
      </c>
      <c r="I187" s="96">
        <f>((H118*(1-'5.Closing Stock &amp; W Capital'!$D$15))+(G118*'5.Closing Stock &amp; W Capital'!$D$15))*$C$187*I124</f>
        <v>0</v>
      </c>
      <c r="J187" s="96">
        <f>((I118*(1-'5.Closing Stock &amp; W Capital'!$D$15))+(H118*'5.Closing Stock &amp; W Capital'!$D$15))*$C$187*J124</f>
        <v>0</v>
      </c>
      <c r="K187" s="94"/>
      <c r="U187" s="207"/>
      <c r="V187" s="207"/>
      <c r="W187" s="207"/>
    </row>
    <row r="188" spans="1:23">
      <c r="A188" s="95" t="s">
        <v>189</v>
      </c>
      <c r="B188" s="95"/>
      <c r="C188" s="257">
        <v>2200</v>
      </c>
      <c r="D188" s="96">
        <f>(C119*(1-'5.Closing Stock &amp; W Capital'!$D$15))*$C$188*D124</f>
        <v>0</v>
      </c>
      <c r="E188" s="96">
        <f>((D119*(1-'5.Closing Stock &amp; W Capital'!$D$15))+(C119*'5.Closing Stock &amp; W Capital'!$D$15))*$C$188*E124</f>
        <v>0</v>
      </c>
      <c r="F188" s="96">
        <f>((E119*(1-'5.Closing Stock &amp; W Capital'!$D$15))+(D119*'5.Closing Stock &amp; W Capital'!$D$15))*$C$188*F124</f>
        <v>0</v>
      </c>
      <c r="G188" s="96">
        <f>((F119*(1-'5.Closing Stock &amp; W Capital'!$D$15))+(E119*'5.Closing Stock &amp; W Capital'!$D$15))*$C$188*G124</f>
        <v>0</v>
      </c>
      <c r="H188" s="96">
        <f>((G119*(1-'5.Closing Stock &amp; W Capital'!$D$15))+(F119*'5.Closing Stock &amp; W Capital'!$D$15))*$C$188*H124</f>
        <v>0</v>
      </c>
      <c r="I188" s="96">
        <f>((H119*(1-'5.Closing Stock &amp; W Capital'!$D$15))+(G119*'5.Closing Stock &amp; W Capital'!$D$15))*$C$188*I124</f>
        <v>0</v>
      </c>
      <c r="J188" s="96">
        <f>((I119*(1-'5.Closing Stock &amp; W Capital'!$D$15))+(H119*'5.Closing Stock &amp; W Capital'!$D$15))*$C$188*J124</f>
        <v>0</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0</v>
      </c>
      <c r="E191" s="115">
        <f t="shared" si="54"/>
        <v>0</v>
      </c>
      <c r="F191" s="115">
        <f t="shared" si="54"/>
        <v>0</v>
      </c>
      <c r="G191" s="115">
        <f t="shared" si="54"/>
        <v>0</v>
      </c>
      <c r="H191" s="115">
        <f t="shared" si="54"/>
        <v>0</v>
      </c>
      <c r="I191" s="115">
        <f t="shared" si="54"/>
        <v>0</v>
      </c>
      <c r="J191" s="115">
        <f t="shared" si="54"/>
        <v>0</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316</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7">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7">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7">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57">
        <v>70</v>
      </c>
      <c r="D207" s="96">
        <f t="shared" ref="D207:J216" si="57">C72*$C207*D$124</f>
        <v>0</v>
      </c>
      <c r="E207" s="96">
        <f t="shared" si="57"/>
        <v>0</v>
      </c>
      <c r="F207" s="96">
        <f t="shared" si="57"/>
        <v>0</v>
      </c>
      <c r="G207" s="96">
        <f t="shared" si="57"/>
        <v>0</v>
      </c>
      <c r="H207" s="96">
        <f t="shared" si="57"/>
        <v>0</v>
      </c>
      <c r="I207" s="96">
        <f t="shared" si="57"/>
        <v>0</v>
      </c>
      <c r="J207" s="96">
        <f t="shared" si="57"/>
        <v>0</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0</v>
      </c>
      <c r="E245" s="96">
        <f t="shared" si="62"/>
        <v>0</v>
      </c>
      <c r="F245" s="96">
        <f t="shared" si="62"/>
        <v>0</v>
      </c>
      <c r="G245" s="96">
        <f t="shared" si="62"/>
        <v>0</v>
      </c>
      <c r="H245" s="96">
        <f t="shared" si="62"/>
        <v>0</v>
      </c>
      <c r="I245" s="96">
        <f t="shared" si="62"/>
        <v>0</v>
      </c>
      <c r="J245" s="96">
        <f t="shared" si="62"/>
        <v>0</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0</v>
      </c>
      <c r="E246" s="96">
        <f t="shared" si="63"/>
        <v>0</v>
      </c>
      <c r="F246" s="96">
        <f t="shared" si="63"/>
        <v>0</v>
      </c>
      <c r="G246" s="96">
        <f t="shared" si="63"/>
        <v>0</v>
      </c>
      <c r="H246" s="96">
        <f t="shared" si="63"/>
        <v>0</v>
      </c>
      <c r="I246" s="96">
        <f t="shared" si="63"/>
        <v>0</v>
      </c>
      <c r="J246" s="96">
        <f t="shared" si="63"/>
        <v>0</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0</v>
      </c>
      <c r="E247" s="96">
        <f t="shared" si="64"/>
        <v>0</v>
      </c>
      <c r="F247" s="96">
        <f t="shared" si="64"/>
        <v>0</v>
      </c>
      <c r="G247" s="96">
        <f t="shared" si="64"/>
        <v>0</v>
      </c>
      <c r="H247" s="96">
        <f t="shared" si="64"/>
        <v>0</v>
      </c>
      <c r="I247" s="96">
        <f t="shared" si="64"/>
        <v>0</v>
      </c>
      <c r="J247" s="96">
        <f t="shared" si="64"/>
        <v>0</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0</v>
      </c>
      <c r="E250" s="96">
        <f t="shared" si="65"/>
        <v>0</v>
      </c>
      <c r="F250" s="96">
        <f t="shared" si="65"/>
        <v>0</v>
      </c>
      <c r="G250" s="96">
        <f t="shared" si="65"/>
        <v>0</v>
      </c>
      <c r="H250" s="96">
        <f t="shared" si="65"/>
        <v>0</v>
      </c>
      <c r="I250" s="96">
        <f t="shared" si="65"/>
        <v>0</v>
      </c>
      <c r="J250" s="96">
        <f t="shared" si="65"/>
        <v>0</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0</v>
      </c>
      <c r="E251" s="96">
        <f t="shared" si="66"/>
        <v>0</v>
      </c>
      <c r="F251" s="96">
        <f t="shared" si="66"/>
        <v>0</v>
      </c>
      <c r="G251" s="96">
        <f t="shared" si="66"/>
        <v>0</v>
      </c>
      <c r="H251" s="96">
        <f t="shared" si="66"/>
        <v>0</v>
      </c>
      <c r="I251" s="96">
        <f t="shared" si="66"/>
        <v>0</v>
      </c>
      <c r="J251" s="96">
        <f t="shared" si="66"/>
        <v>0</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295</v>
      </c>
      <c r="B253" s="95"/>
      <c r="C253" s="257">
        <v>10</v>
      </c>
      <c r="D253" s="96">
        <f t="shared" ref="D253:J253" si="67">(SUM(C63:C119)/50)*$C$253*D124</f>
        <v>0</v>
      </c>
      <c r="E253" s="96">
        <f t="shared" si="67"/>
        <v>0</v>
      </c>
      <c r="F253" s="96">
        <f t="shared" si="67"/>
        <v>0</v>
      </c>
      <c r="G253" s="96">
        <f t="shared" si="67"/>
        <v>0</v>
      </c>
      <c r="H253" s="96">
        <f t="shared" si="67"/>
        <v>0</v>
      </c>
      <c r="I253" s="96">
        <f t="shared" si="67"/>
        <v>0</v>
      </c>
      <c r="J253" s="96">
        <f t="shared" si="67"/>
        <v>0</v>
      </c>
      <c r="K253" s="94"/>
      <c r="L253" s="94"/>
      <c r="M253" s="94"/>
      <c r="N253" s="94"/>
      <c r="O253" s="94"/>
      <c r="P253" s="94"/>
      <c r="Q253" s="94"/>
      <c r="R253" s="94"/>
      <c r="S253" s="94"/>
      <c r="T253" s="94"/>
      <c r="U253" s="94"/>
      <c r="V253" s="94"/>
      <c r="W253" s="94"/>
    </row>
    <row r="254" spans="1:23">
      <c r="A254" s="95" t="s">
        <v>174</v>
      </c>
      <c r="B254" s="95"/>
      <c r="C254" s="257">
        <v>100</v>
      </c>
      <c r="D254" s="96">
        <f t="shared" ref="D254:J254" si="68">(SUM(C63:C119)/50)*$C$254*D124</f>
        <v>0</v>
      </c>
      <c r="E254" s="96">
        <f t="shared" si="68"/>
        <v>0</v>
      </c>
      <c r="F254" s="96">
        <f t="shared" si="68"/>
        <v>0</v>
      </c>
      <c r="G254" s="96">
        <f t="shared" si="68"/>
        <v>0</v>
      </c>
      <c r="H254" s="96">
        <f t="shared" si="68"/>
        <v>0</v>
      </c>
      <c r="I254" s="96">
        <f t="shared" si="68"/>
        <v>0</v>
      </c>
      <c r="J254" s="96">
        <f t="shared" si="68"/>
        <v>0</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349</v>
      </c>
      <c r="B259" s="95"/>
      <c r="C259" s="96"/>
      <c r="D259" s="208"/>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94"/>
      <c r="L259" s="94"/>
      <c r="M259" s="94"/>
      <c r="N259" s="94"/>
      <c r="O259" s="94"/>
      <c r="P259" s="94"/>
      <c r="Q259" s="94"/>
      <c r="R259" s="94"/>
      <c r="S259" s="94"/>
      <c r="T259" s="94"/>
      <c r="U259" s="94"/>
      <c r="V259" s="94"/>
      <c r="W259" s="94"/>
    </row>
    <row r="260" spans="1:23">
      <c r="A260" s="99" t="s">
        <v>350</v>
      </c>
      <c r="B260" s="95"/>
      <c r="C260" s="95"/>
      <c r="D260" s="208">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327</v>
      </c>
      <c r="B262" s="97"/>
      <c r="C262" s="115"/>
      <c r="D262" s="115">
        <f>SUM(D197:D258)+D259-D260</f>
        <v>0</v>
      </c>
      <c r="E262" s="115">
        <f t="shared" ref="E262:J262" si="69">SUM(E197:E258)+E259-E260</f>
        <v>0</v>
      </c>
      <c r="F262" s="115">
        <f t="shared" si="69"/>
        <v>0</v>
      </c>
      <c r="G262" s="115">
        <f t="shared" si="69"/>
        <v>0</v>
      </c>
      <c r="H262" s="115">
        <f t="shared" si="69"/>
        <v>0</v>
      </c>
      <c r="I262" s="115">
        <f t="shared" si="69"/>
        <v>0</v>
      </c>
      <c r="J262" s="115">
        <f t="shared" si="69"/>
        <v>0</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314</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332</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333</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195</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334</v>
      </c>
      <c r="B268" s="95">
        <v>12</v>
      </c>
      <c r="C268" s="257"/>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331</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0</v>
      </c>
      <c r="E274" s="115">
        <f t="shared" si="75"/>
        <v>0</v>
      </c>
      <c r="F274" s="115">
        <f t="shared" si="75"/>
        <v>0</v>
      </c>
      <c r="G274" s="115">
        <f t="shared" si="75"/>
        <v>0</v>
      </c>
      <c r="H274" s="115">
        <f t="shared" si="75"/>
        <v>0</v>
      </c>
      <c r="I274" s="115">
        <f t="shared" si="75"/>
        <v>0</v>
      </c>
      <c r="J274" s="115">
        <f t="shared" si="75"/>
        <v>0</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0</v>
      </c>
      <c r="E276" s="115">
        <f t="shared" si="76"/>
        <v>0</v>
      </c>
      <c r="F276" s="115">
        <f t="shared" si="76"/>
        <v>0</v>
      </c>
      <c r="G276" s="115">
        <f t="shared" si="76"/>
        <v>0</v>
      </c>
      <c r="H276" s="115">
        <f t="shared" si="76"/>
        <v>0</v>
      </c>
      <c r="I276" s="115">
        <f t="shared" si="76"/>
        <v>0</v>
      </c>
      <c r="J276" s="115">
        <f t="shared" si="76"/>
        <v>0</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22" t="s">
        <v>431</v>
      </c>
      <c r="B279" s="422"/>
      <c r="C279" s="422"/>
      <c r="D279" s="422"/>
      <c r="E279" s="422"/>
      <c r="F279" s="422"/>
      <c r="G279" s="422"/>
      <c r="H279" s="422"/>
      <c r="I279" s="422"/>
      <c r="J279" s="422"/>
    </row>
    <row r="281" spans="1:23">
      <c r="A281" t="s">
        <v>550</v>
      </c>
    </row>
    <row r="282" spans="1:23">
      <c r="A282">
        <v>1</v>
      </c>
      <c r="B282" t="s">
        <v>563</v>
      </c>
    </row>
    <row r="283" spans="1:23">
      <c r="A283">
        <v>2</v>
      </c>
      <c r="B283" t="s">
        <v>564</v>
      </c>
    </row>
    <row r="284" spans="1:23">
      <c r="A284">
        <v>3</v>
      </c>
      <c r="B284" s="94" t="s">
        <v>616</v>
      </c>
    </row>
  </sheetData>
  <mergeCells count="3">
    <mergeCell ref="A122:J122"/>
    <mergeCell ref="A2:I2"/>
    <mergeCell ref="A279:J279"/>
  </mergeCells>
  <pageMargins left="0.7" right="0.7" top="0.75" bottom="0.75" header="0.3" footer="0.3"/>
  <pageSetup scale="55"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138" zoomScale="80" zoomScaleSheetLayoutView="80" workbookViewId="0">
      <selection activeCell="E19" sqref="E19"/>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21" t="s">
        <v>611</v>
      </c>
      <c r="B3" s="421"/>
      <c r="C3" s="421"/>
      <c r="D3" s="421"/>
      <c r="E3" s="421"/>
      <c r="F3" s="421"/>
      <c r="G3" s="421"/>
      <c r="H3" s="421"/>
    </row>
    <row r="4" spans="1:8" ht="18.75">
      <c r="A4" s="421" t="s">
        <v>612</v>
      </c>
      <c r="B4" s="421"/>
      <c r="C4" s="421"/>
      <c r="D4" s="421"/>
      <c r="E4" s="421"/>
      <c r="F4" s="421"/>
      <c r="G4" s="421"/>
      <c r="H4" s="421"/>
    </row>
    <row r="5" spans="1:8">
      <c r="A5" s="94" t="s">
        <v>163</v>
      </c>
      <c r="B5" s="250">
        <v>1</v>
      </c>
      <c r="C5" s="94" t="s">
        <v>480</v>
      </c>
      <c r="D5" s="94"/>
      <c r="E5" s="94"/>
      <c r="F5" s="94"/>
      <c r="G5" s="94"/>
      <c r="H5" s="94"/>
    </row>
    <row r="6" spans="1:8">
      <c r="A6" s="94" t="s">
        <v>164</v>
      </c>
      <c r="B6" s="283">
        <v>1</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f t="shared" ref="B12:H12" si="0">B39/($B$5*$B$6)</f>
        <v>0</v>
      </c>
      <c r="C12" s="317">
        <f t="shared" si="0"/>
        <v>0</v>
      </c>
      <c r="D12" s="317">
        <f t="shared" si="0"/>
        <v>0</v>
      </c>
      <c r="E12" s="317">
        <f t="shared" si="0"/>
        <v>0</v>
      </c>
      <c r="F12" s="317">
        <f t="shared" si="0"/>
        <v>0</v>
      </c>
      <c r="G12" s="317">
        <f t="shared" si="0"/>
        <v>0</v>
      </c>
      <c r="H12" s="317">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471</v>
      </c>
      <c r="B39" s="95">
        <f>SUM(B13:B37)</f>
        <v>0</v>
      </c>
      <c r="C39" s="95">
        <f t="shared" ref="C39:H39" si="1">SUM(C13:C37)</f>
        <v>0</v>
      </c>
      <c r="D39" s="95">
        <f t="shared" si="1"/>
        <v>0</v>
      </c>
      <c r="E39" s="95">
        <f t="shared" si="1"/>
        <v>0</v>
      </c>
      <c r="F39" s="95">
        <f t="shared" si="1"/>
        <v>0</v>
      </c>
      <c r="G39" s="95">
        <f t="shared" si="1"/>
        <v>0</v>
      </c>
      <c r="H39" s="95">
        <f t="shared" si="1"/>
        <v>0</v>
      </c>
    </row>
    <row r="40" spans="1:8">
      <c r="A40" s="327" t="s">
        <v>167</v>
      </c>
      <c r="B40" s="282">
        <v>0</v>
      </c>
      <c r="C40" s="282">
        <f>B40</f>
        <v>0</v>
      </c>
      <c r="D40" s="282">
        <f t="shared" ref="D40:H40" si="2">C40</f>
        <v>0</v>
      </c>
      <c r="E40" s="282">
        <f t="shared" si="2"/>
        <v>0</v>
      </c>
      <c r="F40" s="282">
        <f t="shared" si="2"/>
        <v>0</v>
      </c>
      <c r="G40" s="282">
        <f t="shared" si="2"/>
        <v>0</v>
      </c>
      <c r="H40" s="282">
        <f t="shared" si="2"/>
        <v>0</v>
      </c>
    </row>
    <row r="41" spans="1:8">
      <c r="A41" s="99" t="s">
        <v>481</v>
      </c>
      <c r="B41" s="328">
        <f>1-B40</f>
        <v>1</v>
      </c>
      <c r="C41" s="328">
        <f t="shared" ref="C41:H41" si="3">1-C40</f>
        <v>1</v>
      </c>
      <c r="D41" s="328">
        <f t="shared" si="3"/>
        <v>1</v>
      </c>
      <c r="E41" s="328">
        <f t="shared" si="3"/>
        <v>1</v>
      </c>
      <c r="F41" s="328">
        <f t="shared" si="3"/>
        <v>1</v>
      </c>
      <c r="G41" s="328">
        <f t="shared" si="3"/>
        <v>1</v>
      </c>
      <c r="H41" s="328">
        <f t="shared" si="3"/>
        <v>1</v>
      </c>
    </row>
    <row r="42" spans="1:8">
      <c r="A42" s="97" t="s">
        <v>167</v>
      </c>
      <c r="B42" s="261">
        <f>B39*B40</f>
        <v>0</v>
      </c>
      <c r="C42" s="261">
        <f t="shared" ref="C42:H42" si="4">C39*C40</f>
        <v>0</v>
      </c>
      <c r="D42" s="261">
        <f t="shared" si="4"/>
        <v>0</v>
      </c>
      <c r="E42" s="261">
        <f t="shared" si="4"/>
        <v>0</v>
      </c>
      <c r="F42" s="261">
        <f t="shared" si="4"/>
        <v>0</v>
      </c>
      <c r="G42" s="261">
        <f t="shared" si="4"/>
        <v>0</v>
      </c>
      <c r="H42" s="261">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289</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536</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534</v>
      </c>
      <c r="B125" s="96">
        <f>(B$62*50%)*0.7*2</f>
        <v>0</v>
      </c>
      <c r="C125" s="96">
        <f>(C$62*50%)*0.7</f>
        <v>0</v>
      </c>
      <c r="D125" s="96">
        <f t="shared" si="18"/>
        <v>0</v>
      </c>
      <c r="E125" s="96">
        <f t="shared" si="18"/>
        <v>0</v>
      </c>
      <c r="F125" s="96">
        <f t="shared" si="18"/>
        <v>0</v>
      </c>
      <c r="G125" s="96">
        <f t="shared" si="18"/>
        <v>0</v>
      </c>
      <c r="H125" s="96">
        <f t="shared" si="18"/>
        <v>0</v>
      </c>
    </row>
    <row r="126" spans="1:8">
      <c r="A126" s="95" t="s">
        <v>535</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458</v>
      </c>
    </row>
    <row r="141" spans="1:8">
      <c r="A141" t="s">
        <v>539</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540</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541</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21" t="s">
        <v>613</v>
      </c>
      <c r="B147" s="421"/>
      <c r="C147" s="421"/>
      <c r="D147" s="421"/>
      <c r="E147" s="421"/>
      <c r="F147" s="421"/>
      <c r="G147" s="421"/>
      <c r="H147" s="421"/>
      <c r="I147" s="421"/>
      <c r="J147" s="421"/>
    </row>
    <row r="148" spans="1:10">
      <c r="A148" s="322"/>
      <c r="B148" s="322"/>
      <c r="C148" s="322"/>
      <c r="D148" s="322"/>
      <c r="E148" s="322"/>
      <c r="F148" s="322"/>
      <c r="G148" s="322"/>
      <c r="H148" s="322"/>
    </row>
    <row r="149" spans="1:10">
      <c r="A149" s="325"/>
      <c r="B149" s="325"/>
      <c r="C149" s="325"/>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171</v>
      </c>
      <c r="J151" s="120" t="s">
        <v>170</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3" t="s">
        <v>538</v>
      </c>
      <c r="C154" s="233">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3" t="s">
        <v>537</v>
      </c>
      <c r="C155" s="233">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3" t="s">
        <v>369</v>
      </c>
      <c r="C156" s="233">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316</v>
      </c>
      <c r="B162" s="97"/>
      <c r="C162" s="95"/>
      <c r="D162" s="96"/>
      <c r="E162" s="96"/>
      <c r="F162" s="96"/>
      <c r="G162" s="96"/>
      <c r="H162" s="96"/>
      <c r="I162" s="96"/>
      <c r="J162" s="96"/>
    </row>
    <row r="163" spans="1:10">
      <c r="A163" s="99" t="s">
        <v>542</v>
      </c>
      <c r="B163" s="233" t="s">
        <v>370</v>
      </c>
      <c r="C163" s="257">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543</v>
      </c>
      <c r="B164" s="233" t="s">
        <v>370</v>
      </c>
      <c r="C164" s="233">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326</v>
      </c>
      <c r="B165" s="233">
        <v>5</v>
      </c>
      <c r="C165" s="233">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Details'!H67*0.746*8</f>
        <v>0</v>
      </c>
      <c r="C166" s="233">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299</v>
      </c>
      <c r="B167" s="95" t="s">
        <v>370</v>
      </c>
      <c r="C167" s="233">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300</v>
      </c>
      <c r="B168" s="109"/>
      <c r="C168" s="259">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301</v>
      </c>
      <c r="B169" s="95"/>
      <c r="C169" s="233">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349</v>
      </c>
      <c r="B174" s="96"/>
      <c r="C174" s="96"/>
      <c r="D174" s="96"/>
      <c r="E174" s="96">
        <v>0</v>
      </c>
      <c r="F174" s="96">
        <v>0</v>
      </c>
      <c r="G174" s="96">
        <v>0</v>
      </c>
      <c r="H174" s="96">
        <v>0</v>
      </c>
      <c r="I174" s="96">
        <v>0</v>
      </c>
      <c r="J174" s="96">
        <v>0</v>
      </c>
    </row>
    <row r="175" spans="1:10">
      <c r="A175" s="195" t="s">
        <v>350</v>
      </c>
      <c r="B175" s="96"/>
      <c r="C175" s="96"/>
      <c r="D175" s="96">
        <v>0</v>
      </c>
      <c r="E175" s="96">
        <v>0</v>
      </c>
      <c r="F175" s="96">
        <v>0</v>
      </c>
      <c r="G175" s="96">
        <v>0</v>
      </c>
      <c r="H175" s="96">
        <v>0</v>
      </c>
      <c r="I175" s="96">
        <v>0</v>
      </c>
      <c r="J175" s="96">
        <v>0</v>
      </c>
    </row>
    <row r="176" spans="1:10">
      <c r="A176" s="96"/>
      <c r="B176" s="96"/>
      <c r="C176" s="96"/>
      <c r="D176" s="96"/>
      <c r="E176" s="96"/>
      <c r="F176" s="96"/>
      <c r="G176" s="96"/>
      <c r="H176" s="96"/>
      <c r="I176" s="96"/>
      <c r="J176" s="96"/>
    </row>
    <row r="177" spans="1:10">
      <c r="A177" s="115" t="s">
        <v>327</v>
      </c>
      <c r="B177" s="96"/>
      <c r="C177" s="96"/>
      <c r="D177" s="115">
        <f t="shared" ref="D177:J177" si="33">SUM(D163:D174)-D175</f>
        <v>0</v>
      </c>
      <c r="E177" s="115">
        <f t="shared" si="33"/>
        <v>0</v>
      </c>
      <c r="F177" s="115">
        <f t="shared" si="33"/>
        <v>0</v>
      </c>
      <c r="G177" s="115">
        <f t="shared" si="33"/>
        <v>0</v>
      </c>
      <c r="H177" s="115">
        <f t="shared" si="33"/>
        <v>0</v>
      </c>
      <c r="I177" s="115">
        <f t="shared" si="33"/>
        <v>0</v>
      </c>
      <c r="J177" s="115">
        <f t="shared" si="33"/>
        <v>0</v>
      </c>
    </row>
    <row r="178" spans="1:10">
      <c r="A178" s="94"/>
      <c r="B178" s="94"/>
      <c r="C178" s="94"/>
      <c r="D178" s="94"/>
      <c r="E178" s="94"/>
      <c r="F178" s="94"/>
      <c r="G178" s="94"/>
      <c r="H178" s="94"/>
      <c r="I178" s="94"/>
      <c r="J178" s="94"/>
    </row>
    <row r="179" spans="1:10">
      <c r="A179" s="196" t="s">
        <v>314</v>
      </c>
      <c r="B179" s="196"/>
      <c r="C179" s="196"/>
      <c r="D179" s="115"/>
      <c r="E179" s="115"/>
      <c r="F179" s="115"/>
      <c r="G179" s="115"/>
      <c r="H179" s="115"/>
      <c r="I179" s="115"/>
      <c r="J179" s="115"/>
    </row>
    <row r="180" spans="1:10">
      <c r="A180" s="95" t="s">
        <v>190</v>
      </c>
      <c r="B180" s="233">
        <v>1</v>
      </c>
      <c r="C180" s="257"/>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195</v>
      </c>
      <c r="B181" s="233">
        <v>2</v>
      </c>
      <c r="C181" s="257"/>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314</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302</v>
      </c>
      <c r="B186" s="196"/>
      <c r="C186" s="196"/>
      <c r="D186" s="115">
        <f>D177+D185</f>
        <v>0</v>
      </c>
      <c r="E186" s="115">
        <f t="shared" ref="E186:J186" si="37">E177+E185</f>
        <v>0</v>
      </c>
      <c r="F186" s="115">
        <f t="shared" si="37"/>
        <v>0</v>
      </c>
      <c r="G186" s="115">
        <f t="shared" si="37"/>
        <v>0</v>
      </c>
      <c r="H186" s="115">
        <f t="shared" si="37"/>
        <v>0</v>
      </c>
      <c r="I186" s="115">
        <f t="shared" si="37"/>
        <v>0</v>
      </c>
      <c r="J186" s="115">
        <f t="shared" si="37"/>
        <v>0</v>
      </c>
    </row>
    <row r="187" spans="1:10">
      <c r="A187" s="95"/>
      <c r="B187" s="95"/>
      <c r="C187" s="95"/>
      <c r="D187" s="96"/>
      <c r="E187" s="96"/>
      <c r="F187" s="96"/>
      <c r="G187" s="96"/>
      <c r="H187" s="96"/>
      <c r="I187" s="96"/>
      <c r="J187" s="96"/>
    </row>
    <row r="188" spans="1:10">
      <c r="A188" s="97" t="s">
        <v>7</v>
      </c>
      <c r="B188" s="97"/>
      <c r="C188" s="97"/>
      <c r="D188" s="115">
        <f t="shared" ref="D188:J188" si="38">D159-D186</f>
        <v>0</v>
      </c>
      <c r="E188" s="115">
        <f t="shared" si="38"/>
        <v>0</v>
      </c>
      <c r="F188" s="115">
        <f t="shared" si="38"/>
        <v>0</v>
      </c>
      <c r="G188" s="115">
        <f t="shared" si="38"/>
        <v>0</v>
      </c>
      <c r="H188" s="115">
        <f t="shared" si="38"/>
        <v>0</v>
      </c>
      <c r="I188" s="115">
        <f t="shared" si="38"/>
        <v>0</v>
      </c>
      <c r="J188" s="115">
        <f t="shared" si="38"/>
        <v>0</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22" t="s">
        <v>434</v>
      </c>
      <c r="B192" s="422"/>
      <c r="C192" s="422"/>
      <c r="D192" s="422"/>
      <c r="E192" s="422"/>
      <c r="F192" s="422"/>
      <c r="G192" s="422"/>
      <c r="H192" s="422"/>
      <c r="I192" s="422"/>
      <c r="J192" s="422"/>
    </row>
    <row r="194" spans="1:5">
      <c r="A194" t="s">
        <v>550</v>
      </c>
    </row>
    <row r="195" spans="1:5">
      <c r="A195">
        <v>1</v>
      </c>
      <c r="B195" t="s">
        <v>563</v>
      </c>
    </row>
    <row r="196" spans="1:5">
      <c r="A196">
        <v>2</v>
      </c>
      <c r="B196" t="s">
        <v>564</v>
      </c>
      <c r="C196" s="67"/>
      <c r="D196" s="67"/>
      <c r="E196" s="67"/>
    </row>
    <row r="197" spans="1:5">
      <c r="A197">
        <v>3</v>
      </c>
      <c r="B197" s="94" t="s">
        <v>616</v>
      </c>
    </row>
  </sheetData>
  <mergeCells count="4">
    <mergeCell ref="A3:H3"/>
    <mergeCell ref="A147:J147"/>
    <mergeCell ref="A192:J192"/>
    <mergeCell ref="A4:H4"/>
  </mergeCells>
  <pageMargins left="0.70866141732283472" right="0.70866141732283472" top="0.74803149606299213" bottom="0.74803149606299213" header="0.31496062992125984" footer="0.31496062992125984"/>
  <pageSetup paperSize="9" scale="64" orientation="landscape" r:id="rId1"/>
  <rowBreaks count="2" manualBreakCount="2">
    <brk id="93" max="9" man="1"/>
    <brk id="145"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abSelected="1" view="pageBreakPreview" topLeftCell="A7" zoomScaleSheetLayoutView="100" workbookViewId="0">
      <selection activeCell="L22" sqref="L22"/>
    </sheetView>
  </sheetViews>
  <sheetFormatPr defaultRowHeight="15"/>
  <cols>
    <col min="2" max="2" width="7.5703125" style="398" bestFit="1" customWidth="1"/>
    <col min="3" max="3" width="26.28515625" bestFit="1" customWidth="1"/>
    <col min="4" max="4" width="15" customWidth="1"/>
    <col min="5" max="5" width="16" customWidth="1"/>
    <col min="6" max="6" width="17.85546875" customWidth="1"/>
  </cols>
  <sheetData>
    <row r="2" spans="1:6" ht="18.75">
      <c r="B2" s="421" t="s">
        <v>567</v>
      </c>
      <c r="C2" s="421"/>
      <c r="D2" s="421"/>
      <c r="E2" s="421"/>
      <c r="F2" s="421"/>
    </row>
    <row r="4" spans="1:6">
      <c r="B4" s="349" t="s">
        <v>146</v>
      </c>
      <c r="C4" s="349" t="s">
        <v>128</v>
      </c>
      <c r="D4" s="349" t="s">
        <v>160</v>
      </c>
      <c r="E4" s="353" t="s">
        <v>474</v>
      </c>
      <c r="F4" s="353" t="s">
        <v>475</v>
      </c>
    </row>
    <row r="5" spans="1:6">
      <c r="B5" s="362">
        <v>1</v>
      </c>
      <c r="C5" s="350" t="str">
        <f>'2.Capex Details'!B2</f>
        <v>Land and Building</v>
      </c>
      <c r="D5" s="354">
        <f>'2.Capex Details'!G12</f>
        <v>5246000</v>
      </c>
      <c r="E5" s="355">
        <v>0.6</v>
      </c>
      <c r="F5" s="356">
        <f>D5*E5</f>
        <v>3147600</v>
      </c>
    </row>
    <row r="6" spans="1:6">
      <c r="B6" s="362">
        <v>2</v>
      </c>
      <c r="C6" s="350" t="str">
        <f>'2.Capex Details'!B17</f>
        <v>Machinery and Equipment</v>
      </c>
      <c r="D6" s="354">
        <f>'2.Capex Details'!G69</f>
        <v>9623963</v>
      </c>
      <c r="E6" s="355">
        <v>0.6</v>
      </c>
      <c r="F6" s="356">
        <f t="shared" ref="F6:F10" si="0">D6*E6</f>
        <v>5774377.7999999998</v>
      </c>
    </row>
    <row r="7" spans="1:6">
      <c r="B7" s="362">
        <v>3</v>
      </c>
      <c r="C7" s="350" t="str">
        <f>'2.Capex Details'!B75</f>
        <v>Furniture and Fixture</v>
      </c>
      <c r="D7" s="354">
        <f>'2.Capex Details'!F84</f>
        <v>654468</v>
      </c>
      <c r="E7" s="355">
        <v>0.6</v>
      </c>
      <c r="F7" s="356">
        <f t="shared" si="0"/>
        <v>392680.8</v>
      </c>
    </row>
    <row r="8" spans="1:6">
      <c r="B8" s="362">
        <v>4</v>
      </c>
      <c r="C8" s="350" t="str">
        <f>'2.Capex Details'!B89</f>
        <v>IT &amp; It Infrastracture</v>
      </c>
      <c r="D8" s="354">
        <f>'2.Capex Details'!F98</f>
        <v>78980</v>
      </c>
      <c r="E8" s="355">
        <v>0.6</v>
      </c>
      <c r="F8" s="356">
        <f t="shared" si="0"/>
        <v>47388</v>
      </c>
    </row>
    <row r="9" spans="1:6" ht="25.5">
      <c r="B9" s="362">
        <v>5</v>
      </c>
      <c r="C9" s="350" t="str">
        <f>'2.Capex Details'!B103</f>
        <v>Transport vehical  (Refer van and other)</v>
      </c>
      <c r="D9" s="354">
        <f>'2.Capex Details'!F109</f>
        <v>0</v>
      </c>
      <c r="E9" s="355">
        <v>0.6</v>
      </c>
      <c r="F9" s="356">
        <f t="shared" si="0"/>
        <v>0</v>
      </c>
    </row>
    <row r="10" spans="1:6">
      <c r="B10" s="362">
        <v>6</v>
      </c>
      <c r="C10" s="350" t="str">
        <f>'2.Capex Details'!B113</f>
        <v>Preliminary Expenses</v>
      </c>
      <c r="D10" s="354">
        <f>'2.Capex Details'!D121</f>
        <v>50000</v>
      </c>
      <c r="E10" s="355">
        <v>0.6</v>
      </c>
      <c r="F10" s="356">
        <f t="shared" si="0"/>
        <v>30000</v>
      </c>
    </row>
    <row r="11" spans="1:6">
      <c r="B11" s="362">
        <v>7</v>
      </c>
      <c r="C11" s="350" t="s">
        <v>158</v>
      </c>
      <c r="D11" s="354">
        <f>'5.Closing Stock &amp; W Capital'!E56</f>
        <v>0</v>
      </c>
      <c r="E11" s="357"/>
      <c r="F11" s="357"/>
    </row>
    <row r="12" spans="1:6">
      <c r="B12" s="420" t="s">
        <v>1</v>
      </c>
      <c r="C12" s="420"/>
      <c r="D12" s="358">
        <f>SUM(D5:D11)</f>
        <v>15653411</v>
      </c>
      <c r="E12" s="357"/>
      <c r="F12" s="358">
        <f>SUM(F5:F11)</f>
        <v>9392046.6000000015</v>
      </c>
    </row>
    <row r="13" spans="1:6">
      <c r="D13" s="22"/>
    </row>
    <row r="14" spans="1:6" ht="25.5" customHeight="1">
      <c r="A14" s="423" t="s">
        <v>427</v>
      </c>
      <c r="B14" s="423"/>
      <c r="C14" s="423"/>
      <c r="D14" s="423"/>
      <c r="E14" s="423"/>
      <c r="F14" s="423"/>
    </row>
    <row r="16" spans="1:6" ht="18.75">
      <c r="B16" s="421" t="s">
        <v>568</v>
      </c>
      <c r="C16" s="421"/>
      <c r="D16" s="421"/>
      <c r="E16" s="421"/>
      <c r="F16" s="421"/>
    </row>
    <row r="18" spans="2:8">
      <c r="B18" s="349" t="s">
        <v>146</v>
      </c>
      <c r="C18" s="349" t="s">
        <v>128</v>
      </c>
      <c r="D18" s="349" t="s">
        <v>663</v>
      </c>
      <c r="E18" s="349" t="s">
        <v>160</v>
      </c>
    </row>
    <row r="19" spans="2:8" ht="25.5">
      <c r="B19" s="362">
        <v>1</v>
      </c>
      <c r="C19" s="350" t="s">
        <v>339</v>
      </c>
      <c r="D19" s="387"/>
      <c r="E19" s="351">
        <f>F12</f>
        <v>9392046.6000000015</v>
      </c>
    </row>
    <row r="20" spans="2:8">
      <c r="B20" s="362">
        <v>2</v>
      </c>
      <c r="C20" s="350" t="s">
        <v>159</v>
      </c>
      <c r="D20" s="381">
        <v>0.35</v>
      </c>
      <c r="E20" s="351">
        <f>SUM(D5:D9)*D20</f>
        <v>5461193.8499999996</v>
      </c>
    </row>
    <row r="21" spans="2:8">
      <c r="B21" s="362">
        <v>3</v>
      </c>
      <c r="C21" s="350" t="s">
        <v>135</v>
      </c>
      <c r="D21" s="351"/>
      <c r="E21" s="351">
        <f>D12-E19-E20</f>
        <v>800170.54999999888</v>
      </c>
    </row>
    <row r="22" spans="2:8">
      <c r="B22" s="420" t="s">
        <v>1</v>
      </c>
      <c r="C22" s="420"/>
      <c r="D22" s="352"/>
      <c r="E22" s="352">
        <f>SUM(E19:E21)</f>
        <v>15653411</v>
      </c>
    </row>
    <row r="24" spans="2:8">
      <c r="B24" s="422" t="s">
        <v>428</v>
      </c>
      <c r="C24" s="422"/>
      <c r="D24" s="422"/>
      <c r="E24" s="422"/>
      <c r="F24" s="422"/>
    </row>
    <row r="26" spans="2:8" ht="18.75">
      <c r="B26" s="419" t="s">
        <v>569</v>
      </c>
      <c r="C26" s="419"/>
      <c r="D26" s="419"/>
      <c r="E26" s="419"/>
      <c r="F26" s="419"/>
    </row>
    <row r="27" spans="2:8">
      <c r="B27" s="361" t="s">
        <v>146</v>
      </c>
      <c r="C27" s="359" t="s">
        <v>619</v>
      </c>
      <c r="D27" s="360" t="s">
        <v>620</v>
      </c>
      <c r="E27" s="361" t="s">
        <v>621</v>
      </c>
      <c r="F27" s="417" t="s">
        <v>622</v>
      </c>
      <c r="G27" s="418"/>
    </row>
    <row r="28" spans="2:8" ht="25.5">
      <c r="B28" s="362">
        <v>1</v>
      </c>
      <c r="C28" s="350" t="s">
        <v>386</v>
      </c>
      <c r="D28" s="363">
        <f>'9. Financial indiacators'!C46</f>
        <v>0.41519265689450385</v>
      </c>
      <c r="E28" s="362" t="s">
        <v>387</v>
      </c>
      <c r="F28" s="369" t="s">
        <v>623</v>
      </c>
      <c r="G28" s="362" t="s">
        <v>388</v>
      </c>
    </row>
    <row r="29" spans="2:8" ht="38.25">
      <c r="B29" s="362">
        <v>2</v>
      </c>
      <c r="C29" s="350" t="s">
        <v>389</v>
      </c>
      <c r="D29" s="364">
        <f>'9. Financial indiacators'!C82</f>
        <v>0.20105773017658687</v>
      </c>
      <c r="E29" s="362" t="s">
        <v>387</v>
      </c>
      <c r="F29" s="369" t="s">
        <v>624</v>
      </c>
      <c r="G29" s="362" t="s">
        <v>390</v>
      </c>
    </row>
    <row r="30" spans="2:8" ht="38.25">
      <c r="B30" s="362">
        <v>3</v>
      </c>
      <c r="C30" s="350" t="s">
        <v>391</v>
      </c>
      <c r="D30" s="363">
        <f>'9. Financial indiacators'!C13</f>
        <v>0.14275761086743688</v>
      </c>
      <c r="E30" s="362" t="s">
        <v>387</v>
      </c>
      <c r="F30" s="369" t="s">
        <v>625</v>
      </c>
      <c r="G30" s="362" t="s">
        <v>392</v>
      </c>
      <c r="H30" s="389"/>
    </row>
    <row r="31" spans="2:8" ht="63.75">
      <c r="B31" s="362">
        <v>4</v>
      </c>
      <c r="C31" s="350" t="s">
        <v>393</v>
      </c>
      <c r="D31" s="365">
        <f>'9. Financial indiacators'!C70</f>
        <v>2704644.9376645088</v>
      </c>
      <c r="E31" s="362" t="s">
        <v>397</v>
      </c>
      <c r="F31" s="369" t="s">
        <v>626</v>
      </c>
      <c r="G31" s="362" t="s">
        <v>394</v>
      </c>
    </row>
    <row r="32" spans="2:8" ht="38.25">
      <c r="B32" s="362">
        <v>5</v>
      </c>
      <c r="C32" s="350" t="s">
        <v>395</v>
      </c>
      <c r="D32" s="366">
        <f>'9. Financial indiacators'!D98</f>
        <v>4.7528165714396877</v>
      </c>
      <c r="E32" s="362" t="s">
        <v>387</v>
      </c>
      <c r="F32" s="369" t="s">
        <v>627</v>
      </c>
      <c r="G32" s="362" t="s">
        <v>398</v>
      </c>
    </row>
    <row r="33" spans="2:7" ht="38.25">
      <c r="B33" s="362">
        <v>6</v>
      </c>
      <c r="C33" s="367" t="s">
        <v>396</v>
      </c>
      <c r="D33" s="366">
        <f>'9. Financial indiacators'!C116</f>
        <v>2.1126429291238513</v>
      </c>
      <c r="E33" s="368" t="s">
        <v>387</v>
      </c>
      <c r="F33" s="369" t="s">
        <v>628</v>
      </c>
      <c r="G33" s="367"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3"/>
  <sheetViews>
    <sheetView view="pageBreakPreview" zoomScale="80" zoomScaleSheetLayoutView="80" workbookViewId="0">
      <selection activeCell="K13" sqref="K13"/>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140625" bestFit="1" customWidth="1"/>
    <col min="8" max="8" width="11.5703125" bestFit="1" customWidth="1"/>
  </cols>
  <sheetData>
    <row r="2" spans="1:7" ht="18.75">
      <c r="A2">
        <v>2.1</v>
      </c>
      <c r="B2" s="421" t="s">
        <v>156</v>
      </c>
      <c r="C2" s="421"/>
      <c r="D2" s="421"/>
      <c r="E2" s="421"/>
      <c r="F2" s="421"/>
      <c r="G2" s="421"/>
    </row>
    <row r="4" spans="1:7" ht="28.5">
      <c r="B4" s="215" t="s">
        <v>146</v>
      </c>
      <c r="C4" s="215" t="s">
        <v>128</v>
      </c>
      <c r="D4" s="215" t="s">
        <v>133</v>
      </c>
      <c r="E4" s="215" t="s">
        <v>147</v>
      </c>
      <c r="F4" s="215" t="s">
        <v>148</v>
      </c>
      <c r="G4" s="215" t="s">
        <v>160</v>
      </c>
    </row>
    <row r="5" spans="1:7">
      <c r="B5" s="264">
        <v>1</v>
      </c>
      <c r="C5" s="264" t="s">
        <v>149</v>
      </c>
      <c r="D5" s="264" t="s">
        <v>150</v>
      </c>
      <c r="E5" s="370">
        <v>1500</v>
      </c>
      <c r="F5" s="371">
        <v>10</v>
      </c>
      <c r="G5" s="372" t="s">
        <v>151</v>
      </c>
    </row>
    <row r="6" spans="1:7">
      <c r="B6" s="264">
        <v>2</v>
      </c>
      <c r="C6" s="264" t="s">
        <v>709</v>
      </c>
      <c r="D6" s="265"/>
      <c r="E6" s="230">
        <v>1</v>
      </c>
      <c r="F6" s="231">
        <v>5246000</v>
      </c>
      <c r="G6" s="232">
        <f>E6*F6</f>
        <v>5246000</v>
      </c>
    </row>
    <row r="7" spans="1:7">
      <c r="B7" s="264"/>
      <c r="C7" s="264"/>
      <c r="D7" s="265"/>
      <c r="E7" s="230"/>
      <c r="F7" s="231"/>
      <c r="G7" s="232">
        <f t="shared" ref="G7:G11" si="0">E7*F7</f>
        <v>0</v>
      </c>
    </row>
    <row r="8" spans="1:7">
      <c r="B8" s="264"/>
      <c r="C8" s="264"/>
      <c r="D8" s="265"/>
      <c r="E8" s="230"/>
      <c r="F8" s="231"/>
      <c r="G8" s="232">
        <f t="shared" si="0"/>
        <v>0</v>
      </c>
    </row>
    <row r="9" spans="1:7">
      <c r="B9" s="264"/>
      <c r="C9" s="264"/>
      <c r="D9" s="265"/>
      <c r="E9" s="230"/>
      <c r="F9" s="231"/>
      <c r="G9" s="232">
        <f t="shared" si="0"/>
        <v>0</v>
      </c>
    </row>
    <row r="10" spans="1:7">
      <c r="B10" s="264"/>
      <c r="C10" s="264"/>
      <c r="D10" s="265"/>
      <c r="E10" s="230"/>
      <c r="F10" s="231"/>
      <c r="G10" s="232">
        <f t="shared" si="0"/>
        <v>0</v>
      </c>
    </row>
    <row r="11" spans="1:7">
      <c r="B11" s="264"/>
      <c r="C11" s="264"/>
      <c r="D11" s="265"/>
      <c r="E11" s="230"/>
      <c r="F11" s="231"/>
      <c r="G11" s="232">
        <f t="shared" si="0"/>
        <v>0</v>
      </c>
    </row>
    <row r="12" spans="1:7">
      <c r="B12" s="424" t="s">
        <v>1</v>
      </c>
      <c r="C12" s="424"/>
      <c r="D12" s="424"/>
      <c r="E12" s="424"/>
      <c r="F12" s="424"/>
      <c r="G12" s="229">
        <f>SUM(G6:G11)</f>
        <v>5246000</v>
      </c>
    </row>
    <row r="15" spans="1:7">
      <c r="B15" s="422" t="s">
        <v>423</v>
      </c>
      <c r="C15" s="422"/>
      <c r="D15" s="422"/>
      <c r="E15" s="422"/>
      <c r="F15" s="422"/>
      <c r="G15" s="422"/>
    </row>
    <row r="17" spans="1:8" ht="18.75">
      <c r="A17">
        <v>2.2000000000000002</v>
      </c>
      <c r="B17" s="421" t="s">
        <v>157</v>
      </c>
      <c r="C17" s="421"/>
      <c r="D17" s="421"/>
      <c r="E17" s="421"/>
      <c r="F17" s="421"/>
      <c r="G17" s="421"/>
      <c r="H17" s="421"/>
    </row>
    <row r="18" spans="1:8">
      <c r="B18" s="19"/>
    </row>
    <row r="19" spans="1:8" ht="28.5">
      <c r="B19" s="324" t="s">
        <v>146</v>
      </c>
      <c r="C19" s="324" t="s">
        <v>152</v>
      </c>
      <c r="D19" s="324" t="s">
        <v>163</v>
      </c>
      <c r="E19" s="324" t="s">
        <v>153</v>
      </c>
      <c r="F19" s="324" t="s">
        <v>154</v>
      </c>
      <c r="G19" s="324" t="s">
        <v>160</v>
      </c>
      <c r="H19" s="324" t="s">
        <v>155</v>
      </c>
    </row>
    <row r="20" spans="1:8">
      <c r="B20" s="240"/>
      <c r="C20" s="233"/>
      <c r="D20" s="233"/>
      <c r="E20" s="233"/>
      <c r="F20" s="233"/>
      <c r="G20" s="234"/>
      <c r="H20" s="233"/>
    </row>
    <row r="21" spans="1:8">
      <c r="B21" s="236" t="s">
        <v>175</v>
      </c>
      <c r="C21" s="235" t="s">
        <v>372</v>
      </c>
      <c r="D21" s="235"/>
      <c r="E21" s="236"/>
      <c r="F21" s="237"/>
      <c r="G21" s="234">
        <f t="shared" ref="G21:G35" si="1">E21*F21</f>
        <v>0</v>
      </c>
      <c r="H21" s="238"/>
    </row>
    <row r="22" spans="1:8">
      <c r="B22" s="236"/>
      <c r="C22" s="235"/>
      <c r="D22" s="235"/>
      <c r="E22" s="236"/>
      <c r="F22" s="237"/>
      <c r="G22" s="234">
        <f t="shared" si="1"/>
        <v>0</v>
      </c>
      <c r="H22" s="238"/>
    </row>
    <row r="23" spans="1:8">
      <c r="B23" s="236"/>
      <c r="C23" s="391" t="s">
        <v>710</v>
      </c>
      <c r="D23" s="391"/>
      <c r="E23" s="392">
        <v>1</v>
      </c>
      <c r="F23" s="393">
        <v>812425</v>
      </c>
      <c r="G23" s="234">
        <f t="shared" si="1"/>
        <v>812425</v>
      </c>
      <c r="H23" s="238"/>
    </row>
    <row r="24" spans="1:8">
      <c r="B24" s="236"/>
      <c r="C24" s="391" t="s">
        <v>711</v>
      </c>
      <c r="D24" s="391"/>
      <c r="E24" s="392">
        <v>1</v>
      </c>
      <c r="F24" s="393">
        <v>220000</v>
      </c>
      <c r="G24" s="234">
        <f t="shared" si="1"/>
        <v>220000</v>
      </c>
      <c r="H24" s="238"/>
    </row>
    <row r="25" spans="1:8">
      <c r="B25" s="236"/>
      <c r="C25" s="391" t="s">
        <v>712</v>
      </c>
      <c r="D25" s="391"/>
      <c r="E25" s="392">
        <v>1</v>
      </c>
      <c r="F25" s="393">
        <v>230000</v>
      </c>
      <c r="G25" s="234">
        <f t="shared" si="1"/>
        <v>230000</v>
      </c>
      <c r="H25" s="238"/>
    </row>
    <row r="26" spans="1:8">
      <c r="B26" s="236"/>
      <c r="C26" s="391" t="s">
        <v>713</v>
      </c>
      <c r="D26" s="391"/>
      <c r="E26" s="392">
        <v>1</v>
      </c>
      <c r="F26" s="393">
        <v>510000</v>
      </c>
      <c r="G26" s="234">
        <f t="shared" si="1"/>
        <v>510000</v>
      </c>
      <c r="H26" s="238"/>
    </row>
    <row r="27" spans="1:8">
      <c r="B27" s="390"/>
      <c r="C27" s="391" t="s">
        <v>714</v>
      </c>
      <c r="D27" s="391"/>
      <c r="E27" s="392">
        <v>1</v>
      </c>
      <c r="F27" s="393">
        <v>115000</v>
      </c>
      <c r="G27" s="234">
        <f t="shared" si="1"/>
        <v>115000</v>
      </c>
      <c r="H27" s="238"/>
    </row>
    <row r="28" spans="1:8">
      <c r="B28" s="390"/>
      <c r="C28" s="391" t="s">
        <v>716</v>
      </c>
      <c r="D28" s="391"/>
      <c r="E28" s="392">
        <v>1</v>
      </c>
      <c r="F28" s="393">
        <v>65000</v>
      </c>
      <c r="G28" s="234">
        <f t="shared" si="1"/>
        <v>65000</v>
      </c>
      <c r="H28" s="238"/>
    </row>
    <row r="29" spans="1:8">
      <c r="B29" s="390"/>
      <c r="C29" s="391" t="s">
        <v>717</v>
      </c>
      <c r="D29" s="391"/>
      <c r="E29" s="392">
        <v>1</v>
      </c>
      <c r="F29" s="393">
        <v>195000</v>
      </c>
      <c r="G29" s="234">
        <f t="shared" si="1"/>
        <v>195000</v>
      </c>
      <c r="H29" s="238"/>
    </row>
    <row r="30" spans="1:8">
      <c r="B30" s="390"/>
      <c r="C30" s="391" t="s">
        <v>718</v>
      </c>
      <c r="D30" s="391"/>
      <c r="E30" s="392">
        <v>1</v>
      </c>
      <c r="F30" s="393">
        <v>98000</v>
      </c>
      <c r="G30" s="234">
        <f t="shared" si="1"/>
        <v>98000</v>
      </c>
      <c r="H30" s="238"/>
    </row>
    <row r="31" spans="1:8">
      <c r="B31" s="390"/>
      <c r="C31" s="391" t="s">
        <v>719</v>
      </c>
      <c r="D31" s="391"/>
      <c r="E31" s="392">
        <v>1</v>
      </c>
      <c r="F31" s="393">
        <v>35000</v>
      </c>
      <c r="G31" s="234">
        <f t="shared" si="1"/>
        <v>35000</v>
      </c>
      <c r="H31" s="238"/>
    </row>
    <row r="32" spans="1:8">
      <c r="B32" s="390"/>
      <c r="C32" s="391" t="s">
        <v>715</v>
      </c>
      <c r="D32" s="391"/>
      <c r="E32" s="392">
        <v>1</v>
      </c>
      <c r="F32" s="393">
        <v>29000</v>
      </c>
      <c r="G32" s="234">
        <f t="shared" si="1"/>
        <v>29000</v>
      </c>
      <c r="H32" s="238"/>
    </row>
    <row r="33" spans="2:8">
      <c r="B33" s="236"/>
      <c r="C33" s="391" t="s">
        <v>720</v>
      </c>
      <c r="D33" s="391"/>
      <c r="E33" s="392">
        <v>1</v>
      </c>
      <c r="F33" s="393">
        <v>150000</v>
      </c>
      <c r="G33" s="234">
        <f t="shared" si="1"/>
        <v>150000</v>
      </c>
      <c r="H33" s="238"/>
    </row>
    <row r="34" spans="2:8">
      <c r="B34" s="236"/>
      <c r="C34" s="391" t="s">
        <v>721</v>
      </c>
      <c r="D34" s="391"/>
      <c r="E34" s="392">
        <v>1</v>
      </c>
      <c r="F34" s="393">
        <v>27000</v>
      </c>
      <c r="G34" s="234">
        <f t="shared" si="1"/>
        <v>27000</v>
      </c>
      <c r="H34" s="238"/>
    </row>
    <row r="35" spans="2:8">
      <c r="B35" s="390"/>
      <c r="C35" s="391" t="s">
        <v>722</v>
      </c>
      <c r="D35" s="391"/>
      <c r="E35" s="392">
        <v>1</v>
      </c>
      <c r="F35" s="393">
        <v>17000</v>
      </c>
      <c r="G35" s="234">
        <f t="shared" si="1"/>
        <v>17000</v>
      </c>
      <c r="H35" s="238"/>
    </row>
    <row r="36" spans="2:8">
      <c r="B36" s="390"/>
      <c r="C36" s="391"/>
      <c r="D36" s="391"/>
      <c r="E36" s="392"/>
      <c r="F36" s="393"/>
      <c r="G36" s="234"/>
      <c r="H36" s="238"/>
    </row>
    <row r="37" spans="2:8">
      <c r="B37" s="236"/>
      <c r="C37" s="235"/>
      <c r="D37" s="236"/>
      <c r="E37" s="236"/>
      <c r="F37" s="237"/>
      <c r="G37" s="234"/>
      <c r="H37" s="238"/>
    </row>
    <row r="38" spans="2:8">
      <c r="B38" s="236"/>
      <c r="C38" s="235"/>
      <c r="D38" s="236"/>
      <c r="E38" s="236"/>
      <c r="F38" s="237"/>
      <c r="G38" s="234"/>
      <c r="H38" s="238"/>
    </row>
    <row r="39" spans="2:8">
      <c r="B39" s="426" t="s">
        <v>173</v>
      </c>
      <c r="C39" s="426"/>
      <c r="D39" s="236"/>
      <c r="E39" s="236"/>
      <c r="F39" s="239"/>
      <c r="G39" s="234">
        <f>SUM(G21:G38)</f>
        <v>2503425</v>
      </c>
      <c r="H39" s="234">
        <f>SUM(H21:H38)</f>
        <v>0</v>
      </c>
    </row>
    <row r="40" spans="2:8">
      <c r="B40" s="236" t="s">
        <v>176</v>
      </c>
      <c r="C40" s="397" t="s">
        <v>297</v>
      </c>
      <c r="D40" s="240"/>
      <c r="E40" s="240"/>
      <c r="F40" s="234"/>
      <c r="G40" s="234"/>
      <c r="H40" s="233"/>
    </row>
    <row r="41" spans="2:8">
      <c r="B41" s="240"/>
      <c r="C41" s="241"/>
      <c r="D41" s="241"/>
      <c r="E41" s="240">
        <v>1</v>
      </c>
      <c r="F41" s="234">
        <v>601210</v>
      </c>
      <c r="G41" s="234">
        <f>F41</f>
        <v>601210</v>
      </c>
      <c r="H41" s="233"/>
    </row>
    <row r="42" spans="2:8">
      <c r="B42" s="240"/>
      <c r="C42" s="241"/>
      <c r="D42" s="240"/>
      <c r="E42" s="240"/>
      <c r="F42" s="234"/>
      <c r="G42" s="234">
        <f t="shared" ref="G42:G43" si="2">F42</f>
        <v>0</v>
      </c>
      <c r="H42" s="233"/>
    </row>
    <row r="43" spans="2:8">
      <c r="B43" s="240"/>
      <c r="C43" s="241"/>
      <c r="D43" s="240"/>
      <c r="E43" s="240"/>
      <c r="F43" s="234"/>
      <c r="G43" s="234">
        <f t="shared" si="2"/>
        <v>0</v>
      </c>
      <c r="H43" s="233"/>
    </row>
    <row r="44" spans="2:8">
      <c r="B44" s="426" t="s">
        <v>173</v>
      </c>
      <c r="C44" s="426"/>
      <c r="D44" s="236"/>
      <c r="E44" s="236"/>
      <c r="F44" s="239"/>
      <c r="G44" s="239">
        <f>SUM(G41:G43)</f>
        <v>601210</v>
      </c>
      <c r="H44" s="239">
        <f>SUM(H41:H43)</f>
        <v>0</v>
      </c>
    </row>
    <row r="45" spans="2:8">
      <c r="B45" s="240"/>
      <c r="C45" s="241"/>
      <c r="D45" s="240"/>
      <c r="E45" s="240"/>
      <c r="F45" s="234"/>
      <c r="G45" s="234"/>
      <c r="H45" s="233"/>
    </row>
    <row r="46" spans="2:8">
      <c r="B46" s="236" t="s">
        <v>177</v>
      </c>
      <c r="C46" s="235" t="s">
        <v>373</v>
      </c>
      <c r="D46" s="240"/>
      <c r="E46" s="240"/>
      <c r="F46" s="234"/>
      <c r="G46" s="234">
        <f t="shared" ref="G46:G60" si="3">E46*F46</f>
        <v>0</v>
      </c>
      <c r="H46" s="233"/>
    </row>
    <row r="47" spans="2:8">
      <c r="B47" s="236"/>
      <c r="C47" s="241" t="s">
        <v>727</v>
      </c>
      <c r="D47" s="240"/>
      <c r="E47" s="240">
        <v>1</v>
      </c>
      <c r="F47" s="234">
        <v>1522028</v>
      </c>
      <c r="G47" s="234">
        <f t="shared" si="3"/>
        <v>1522028</v>
      </c>
      <c r="H47" s="233"/>
    </row>
    <row r="48" spans="2:8">
      <c r="B48" s="236"/>
      <c r="C48" s="241"/>
      <c r="D48" s="240"/>
      <c r="E48" s="240"/>
      <c r="F48" s="234"/>
      <c r="G48" s="234">
        <f t="shared" si="3"/>
        <v>0</v>
      </c>
      <c r="H48" s="233"/>
    </row>
    <row r="49" spans="2:8">
      <c r="B49" s="388"/>
      <c r="C49" s="241"/>
      <c r="D49" s="240"/>
      <c r="E49" s="240"/>
      <c r="F49" s="234"/>
      <c r="G49" s="234">
        <f t="shared" si="3"/>
        <v>0</v>
      </c>
      <c r="H49" s="233"/>
    </row>
    <row r="50" spans="2:8">
      <c r="B50" s="388"/>
      <c r="C50" s="241"/>
      <c r="D50" s="240"/>
      <c r="E50" s="240"/>
      <c r="F50" s="234"/>
      <c r="G50" s="234">
        <f t="shared" si="3"/>
        <v>0</v>
      </c>
      <c r="H50" s="233"/>
    </row>
    <row r="51" spans="2:8">
      <c r="B51" s="388"/>
      <c r="C51" s="264" t="s">
        <v>728</v>
      </c>
      <c r="D51" s="240"/>
      <c r="E51" s="240">
        <v>1</v>
      </c>
      <c r="F51" s="234">
        <v>4997300</v>
      </c>
      <c r="G51" s="234">
        <f t="shared" si="3"/>
        <v>4997300</v>
      </c>
      <c r="H51" s="233"/>
    </row>
    <row r="52" spans="2:8">
      <c r="B52" s="388"/>
      <c r="C52" s="241"/>
      <c r="D52" s="240"/>
      <c r="E52" s="240"/>
      <c r="F52" s="234"/>
      <c r="G52" s="234"/>
      <c r="H52" s="233"/>
    </row>
    <row r="53" spans="2:8">
      <c r="B53" s="388"/>
      <c r="C53" s="241"/>
      <c r="D53" s="240"/>
      <c r="E53" s="240"/>
      <c r="F53" s="234"/>
      <c r="G53" s="234"/>
      <c r="H53" s="233"/>
    </row>
    <row r="54" spans="2:8">
      <c r="B54" s="388"/>
      <c r="C54" s="241"/>
      <c r="D54" s="240"/>
      <c r="E54" s="240"/>
      <c r="F54" s="234"/>
      <c r="G54" s="234"/>
      <c r="H54" s="233"/>
    </row>
    <row r="55" spans="2:8">
      <c r="B55" s="388"/>
      <c r="C55" s="241"/>
      <c r="D55" s="240"/>
      <c r="E55" s="240"/>
      <c r="F55" s="234"/>
      <c r="G55" s="234"/>
      <c r="H55" s="233"/>
    </row>
    <row r="56" spans="2:8">
      <c r="B56" s="388"/>
      <c r="C56" s="241"/>
      <c r="D56" s="240"/>
      <c r="E56" s="240"/>
      <c r="F56" s="234"/>
      <c r="G56" s="234"/>
      <c r="H56" s="233"/>
    </row>
    <row r="57" spans="2:8">
      <c r="B57" s="388"/>
      <c r="C57" s="235"/>
      <c r="D57" s="241"/>
      <c r="E57" s="240"/>
      <c r="F57" s="234"/>
      <c r="G57" s="234"/>
      <c r="H57" s="233"/>
    </row>
    <row r="58" spans="2:8">
      <c r="B58" s="236"/>
      <c r="C58" s="235"/>
      <c r="D58" s="241"/>
      <c r="E58" s="240"/>
      <c r="F58" s="234"/>
      <c r="G58" s="234">
        <f t="shared" si="3"/>
        <v>0</v>
      </c>
      <c r="H58" s="233"/>
    </row>
    <row r="59" spans="2:8">
      <c r="B59" s="236"/>
      <c r="C59" s="235"/>
      <c r="D59" s="241"/>
      <c r="E59" s="240"/>
      <c r="F59" s="234"/>
      <c r="G59" s="234">
        <f t="shared" si="3"/>
        <v>0</v>
      </c>
      <c r="H59" s="233"/>
    </row>
    <row r="60" spans="2:8">
      <c r="B60" s="236"/>
      <c r="C60" s="235"/>
      <c r="D60" s="241"/>
      <c r="E60" s="240"/>
      <c r="F60" s="234"/>
      <c r="G60" s="234">
        <f t="shared" si="3"/>
        <v>0</v>
      </c>
      <c r="H60" s="233"/>
    </row>
    <row r="61" spans="2:8">
      <c r="B61" s="426" t="s">
        <v>173</v>
      </c>
      <c r="C61" s="426"/>
      <c r="D61" s="241"/>
      <c r="E61" s="240"/>
      <c r="F61" s="234"/>
      <c r="G61" s="234">
        <f>SUM(G46:G60)</f>
        <v>6519328</v>
      </c>
      <c r="H61" s="234">
        <f>SUM(H46:H60)</f>
        <v>0</v>
      </c>
    </row>
    <row r="62" spans="2:8">
      <c r="B62" s="236"/>
      <c r="C62" s="236"/>
      <c r="D62" s="241"/>
      <c r="E62" s="240"/>
      <c r="F62" s="234"/>
      <c r="G62" s="234"/>
      <c r="H62" s="234"/>
    </row>
    <row r="63" spans="2:8">
      <c r="B63" s="236" t="s">
        <v>178</v>
      </c>
      <c r="C63" s="236" t="s">
        <v>549</v>
      </c>
      <c r="D63" s="241">
        <v>0</v>
      </c>
      <c r="E63" s="240">
        <v>0</v>
      </c>
      <c r="F63" s="234">
        <v>0</v>
      </c>
      <c r="G63" s="234">
        <f>E63*F63</f>
        <v>0</v>
      </c>
      <c r="H63" s="234"/>
    </row>
    <row r="64" spans="2:8">
      <c r="B64" s="236"/>
      <c r="C64" s="236"/>
      <c r="D64" s="241"/>
      <c r="E64" s="240"/>
      <c r="F64" s="234"/>
      <c r="G64" s="234">
        <f t="shared" ref="G64:G66" si="4">E64*F64</f>
        <v>0</v>
      </c>
      <c r="H64" s="234"/>
    </row>
    <row r="65" spans="1:11">
      <c r="B65" s="236"/>
      <c r="C65" s="236"/>
      <c r="D65" s="241"/>
      <c r="E65" s="240"/>
      <c r="F65" s="234"/>
      <c r="G65" s="234">
        <f t="shared" si="4"/>
        <v>0</v>
      </c>
      <c r="H65" s="234"/>
    </row>
    <row r="66" spans="1:11">
      <c r="B66" s="236"/>
      <c r="C66" s="235"/>
      <c r="D66" s="241"/>
      <c r="E66" s="240"/>
      <c r="F66" s="234"/>
      <c r="G66" s="234">
        <f t="shared" si="4"/>
        <v>0</v>
      </c>
      <c r="H66" s="233"/>
    </row>
    <row r="67" spans="1:11" ht="15" customHeight="1">
      <c r="B67" s="427" t="s">
        <v>173</v>
      </c>
      <c r="C67" s="428"/>
      <c r="D67" s="241"/>
      <c r="E67" s="240"/>
      <c r="F67" s="234"/>
      <c r="G67" s="234">
        <f>SUM(G63:G66)</f>
        <v>0</v>
      </c>
      <c r="H67" s="234">
        <f>SUM(H63:H66)</f>
        <v>0</v>
      </c>
    </row>
    <row r="68" spans="1:11">
      <c r="B68" s="240"/>
      <c r="C68" s="241"/>
      <c r="D68" s="241"/>
      <c r="E68" s="240"/>
      <c r="F68" s="234"/>
      <c r="G68" s="234"/>
      <c r="H68" s="233"/>
    </row>
    <row r="69" spans="1:11">
      <c r="B69" s="425" t="s">
        <v>1</v>
      </c>
      <c r="C69" s="425"/>
      <c r="D69" s="425"/>
      <c r="E69" s="425"/>
      <c r="F69" s="425"/>
      <c r="G69" s="228">
        <f>G61+G44+G39+G67</f>
        <v>9623963</v>
      </c>
      <c r="H69" s="228">
        <f>H44+H21+H61+H67</f>
        <v>0</v>
      </c>
    </row>
    <row r="70" spans="1:11">
      <c r="B70" s="19"/>
      <c r="G70" s="18"/>
    </row>
    <row r="71" spans="1:11">
      <c r="B71" s="422" t="s">
        <v>424</v>
      </c>
      <c r="C71" s="422"/>
      <c r="D71" s="422"/>
      <c r="E71" s="422"/>
      <c r="F71" s="422"/>
      <c r="G71" s="422"/>
      <c r="H71" s="422"/>
    </row>
    <row r="72" spans="1:11">
      <c r="B72" s="19"/>
      <c r="G72" s="18"/>
      <c r="I72" s="19"/>
      <c r="J72" s="19"/>
      <c r="K72" s="20"/>
    </row>
    <row r="75" spans="1:11" ht="18.75">
      <c r="A75">
        <v>2.2999999999999998</v>
      </c>
      <c r="B75" s="421" t="s">
        <v>384</v>
      </c>
      <c r="C75" s="421"/>
      <c r="D75" s="421"/>
      <c r="E75" s="421"/>
      <c r="F75" s="421"/>
    </row>
    <row r="77" spans="1:11" ht="30">
      <c r="B77" s="23" t="s">
        <v>146</v>
      </c>
      <c r="C77" s="57" t="s">
        <v>128</v>
      </c>
      <c r="D77" s="57" t="s">
        <v>153</v>
      </c>
      <c r="E77" s="57" t="s">
        <v>154</v>
      </c>
      <c r="F77" s="57" t="s">
        <v>160</v>
      </c>
    </row>
    <row r="78" spans="1:11">
      <c r="B78" s="242">
        <v>1</v>
      </c>
      <c r="C78" s="266" t="s">
        <v>708</v>
      </c>
      <c r="D78" s="242">
        <v>1</v>
      </c>
      <c r="E78" s="243"/>
      <c r="F78" s="244">
        <f t="shared" ref="F78:F83" si="5">D78*E78</f>
        <v>0</v>
      </c>
    </row>
    <row r="79" spans="1:11">
      <c r="B79" s="242"/>
      <c r="C79" s="394" t="s">
        <v>723</v>
      </c>
      <c r="D79" s="395">
        <v>1</v>
      </c>
      <c r="E79" s="396">
        <v>559468</v>
      </c>
      <c r="F79" s="244">
        <f t="shared" si="5"/>
        <v>559468</v>
      </c>
    </row>
    <row r="80" spans="1:11">
      <c r="B80" s="242"/>
      <c r="C80" s="394" t="s">
        <v>724</v>
      </c>
      <c r="D80" s="395">
        <v>1</v>
      </c>
      <c r="E80" s="396">
        <v>45000</v>
      </c>
      <c r="F80" s="244">
        <f>D80*E80</f>
        <v>45000</v>
      </c>
    </row>
    <row r="81" spans="1:7">
      <c r="B81" s="242"/>
      <c r="C81" s="394" t="s">
        <v>725</v>
      </c>
      <c r="D81" s="395">
        <v>1</v>
      </c>
      <c r="E81" s="396">
        <v>25000</v>
      </c>
      <c r="F81" s="244">
        <f t="shared" si="5"/>
        <v>25000</v>
      </c>
    </row>
    <row r="82" spans="1:7">
      <c r="B82" s="242"/>
      <c r="C82" s="394" t="s">
        <v>726</v>
      </c>
      <c r="D82" s="395">
        <v>1</v>
      </c>
      <c r="E82" s="396">
        <v>25000</v>
      </c>
      <c r="F82" s="244">
        <f>D82*E82</f>
        <v>25000</v>
      </c>
    </row>
    <row r="83" spans="1:7">
      <c r="B83" s="242"/>
      <c r="C83" s="266"/>
      <c r="D83" s="242"/>
      <c r="E83" s="243"/>
      <c r="F83" s="244">
        <f t="shared" si="5"/>
        <v>0</v>
      </c>
    </row>
    <row r="84" spans="1:7">
      <c r="B84" s="429" t="s">
        <v>1</v>
      </c>
      <c r="C84" s="429"/>
      <c r="D84" s="429"/>
      <c r="E84" s="429"/>
      <c r="F84" s="21">
        <f>SUM(F78:F83)</f>
        <v>654468</v>
      </c>
    </row>
    <row r="86" spans="1:7">
      <c r="A86" s="422" t="s">
        <v>425</v>
      </c>
      <c r="B86" s="422"/>
      <c r="C86" s="422"/>
      <c r="D86" s="422"/>
      <c r="E86" s="422"/>
      <c r="F86" s="422"/>
      <c r="G86" s="422"/>
    </row>
    <row r="89" spans="1:7" ht="18.75">
      <c r="A89">
        <v>2.4</v>
      </c>
      <c r="B89" s="421" t="s">
        <v>383</v>
      </c>
      <c r="C89" s="421"/>
      <c r="D89" s="421"/>
      <c r="E89" s="421"/>
      <c r="F89" s="421"/>
    </row>
    <row r="91" spans="1:7" ht="30">
      <c r="B91" s="23" t="s">
        <v>146</v>
      </c>
      <c r="C91" s="61" t="s">
        <v>128</v>
      </c>
      <c r="D91" s="61" t="s">
        <v>153</v>
      </c>
      <c r="E91" s="61" t="s">
        <v>154</v>
      </c>
      <c r="F91" s="61" t="s">
        <v>160</v>
      </c>
    </row>
    <row r="92" spans="1:7">
      <c r="B92" s="242">
        <v>1</v>
      </c>
      <c r="C92" s="266" t="s">
        <v>706</v>
      </c>
      <c r="D92" s="242">
        <v>1</v>
      </c>
      <c r="E92" s="243">
        <v>78980</v>
      </c>
      <c r="F92" s="244">
        <f>D92*E92</f>
        <v>78980</v>
      </c>
    </row>
    <row r="93" spans="1:7">
      <c r="B93" s="242"/>
      <c r="C93" s="266"/>
      <c r="D93" s="242"/>
      <c r="E93" s="243"/>
      <c r="F93" s="244">
        <f t="shared" ref="F93:F97" si="6">D93*E93</f>
        <v>0</v>
      </c>
    </row>
    <row r="94" spans="1:7">
      <c r="B94" s="242"/>
      <c r="C94" s="266"/>
      <c r="D94" s="242"/>
      <c r="E94" s="243"/>
      <c r="F94" s="244">
        <f t="shared" si="6"/>
        <v>0</v>
      </c>
    </row>
    <row r="95" spans="1:7">
      <c r="B95" s="242"/>
      <c r="C95" s="266"/>
      <c r="D95" s="242"/>
      <c r="E95" s="243"/>
      <c r="F95" s="244">
        <f t="shared" si="6"/>
        <v>0</v>
      </c>
    </row>
    <row r="96" spans="1:7">
      <c r="B96" s="242"/>
      <c r="C96" s="266"/>
      <c r="D96" s="242"/>
      <c r="E96" s="243"/>
      <c r="F96" s="244">
        <f t="shared" si="6"/>
        <v>0</v>
      </c>
    </row>
    <row r="97" spans="1:7">
      <c r="B97" s="242"/>
      <c r="C97" s="266"/>
      <c r="D97" s="242"/>
      <c r="E97" s="243"/>
      <c r="F97" s="244">
        <f t="shared" si="6"/>
        <v>0</v>
      </c>
    </row>
    <row r="98" spans="1:7">
      <c r="B98" s="429" t="s">
        <v>1</v>
      </c>
      <c r="C98" s="429"/>
      <c r="D98" s="429"/>
      <c r="E98" s="429"/>
      <c r="F98" s="21">
        <f>SUM(F92:F97)</f>
        <v>78980</v>
      </c>
    </row>
    <row r="100" spans="1:7">
      <c r="A100" s="422" t="s">
        <v>425</v>
      </c>
      <c r="B100" s="422"/>
      <c r="C100" s="422"/>
      <c r="D100" s="422"/>
      <c r="E100" s="422"/>
      <c r="F100" s="422"/>
      <c r="G100" s="422"/>
    </row>
    <row r="103" spans="1:7" ht="18.75">
      <c r="A103">
        <v>2.5</v>
      </c>
      <c r="B103" s="421" t="s">
        <v>656</v>
      </c>
      <c r="C103" s="421"/>
      <c r="D103" s="421"/>
      <c r="E103" s="421"/>
      <c r="F103" s="421"/>
    </row>
    <row r="105" spans="1:7" ht="28.5">
      <c r="B105" s="214" t="s">
        <v>146</v>
      </c>
      <c r="C105" s="215" t="s">
        <v>128</v>
      </c>
      <c r="D105" s="215" t="s">
        <v>153</v>
      </c>
      <c r="E105" s="215" t="s">
        <v>154</v>
      </c>
      <c r="F105" s="215" t="s">
        <v>160</v>
      </c>
    </row>
    <row r="106" spans="1:7">
      <c r="B106" s="240">
        <v>1</v>
      </c>
      <c r="C106" s="241" t="s">
        <v>730</v>
      </c>
      <c r="D106" s="240">
        <v>0</v>
      </c>
      <c r="E106" s="245">
        <v>0</v>
      </c>
      <c r="F106" s="234">
        <f>E106*D106</f>
        <v>0</v>
      </c>
    </row>
    <row r="107" spans="1:7">
      <c r="B107" s="240"/>
      <c r="C107" s="241"/>
      <c r="D107" s="240"/>
      <c r="E107" s="245">
        <v>0</v>
      </c>
      <c r="F107" s="234">
        <f>E107*D107</f>
        <v>0</v>
      </c>
    </row>
    <row r="108" spans="1:7">
      <c r="B108" s="240"/>
      <c r="C108" s="241"/>
      <c r="D108" s="240"/>
      <c r="E108" s="245"/>
      <c r="F108" s="234">
        <f>E108*D108</f>
        <v>0</v>
      </c>
    </row>
    <row r="109" spans="1:7">
      <c r="B109" s="425" t="s">
        <v>1</v>
      </c>
      <c r="C109" s="425"/>
      <c r="D109" s="425"/>
      <c r="E109" s="425"/>
      <c r="F109" s="217">
        <f>SUM(F106:F108)</f>
        <v>0</v>
      </c>
    </row>
    <row r="110" spans="1:7">
      <c r="A110" s="433" t="s">
        <v>456</v>
      </c>
      <c r="B110" s="433"/>
      <c r="C110" s="433"/>
      <c r="D110" s="433"/>
      <c r="E110" s="433"/>
      <c r="F110" s="433"/>
      <c r="G110" s="433"/>
    </row>
    <row r="113" spans="1:5" ht="18.75">
      <c r="A113">
        <v>2.6</v>
      </c>
      <c r="B113" s="421" t="s">
        <v>258</v>
      </c>
      <c r="C113" s="421"/>
      <c r="D113" s="421"/>
    </row>
    <row r="114" spans="1:5" ht="15.75" thickBot="1"/>
    <row r="115" spans="1:5" ht="29.25" thickBot="1">
      <c r="B115" s="226" t="s">
        <v>146</v>
      </c>
      <c r="C115" s="227" t="s">
        <v>128</v>
      </c>
      <c r="D115" s="227" t="s">
        <v>382</v>
      </c>
    </row>
    <row r="116" spans="1:5" ht="15.75" thickBot="1">
      <c r="B116" s="267">
        <v>1</v>
      </c>
      <c r="C116" s="268" t="s">
        <v>707</v>
      </c>
      <c r="D116" s="246">
        <v>50000</v>
      </c>
    </row>
    <row r="117" spans="1:5" ht="15.75" thickBot="1">
      <c r="B117" s="267">
        <v>2</v>
      </c>
      <c r="C117" s="268"/>
      <c r="D117" s="246"/>
    </row>
    <row r="118" spans="1:5" ht="15.75" thickBot="1">
      <c r="B118" s="267">
        <v>3</v>
      </c>
      <c r="C118" s="268"/>
      <c r="D118" s="246"/>
    </row>
    <row r="119" spans="1:5" ht="15.75" thickBot="1">
      <c r="B119" s="267"/>
      <c r="C119" s="268"/>
      <c r="D119" s="246"/>
    </row>
    <row r="120" spans="1:5" ht="15.75" thickBot="1">
      <c r="B120" s="267"/>
      <c r="C120" s="268"/>
      <c r="D120" s="246"/>
    </row>
    <row r="121" spans="1:5" ht="15.75" thickBot="1">
      <c r="B121" s="430" t="s">
        <v>1</v>
      </c>
      <c r="C121" s="431"/>
      <c r="D121" s="247">
        <f>SUM(D116:D120)</f>
        <v>50000</v>
      </c>
    </row>
    <row r="123" spans="1:5" ht="26.1" customHeight="1">
      <c r="A123" s="432" t="s">
        <v>457</v>
      </c>
      <c r="B123" s="432"/>
      <c r="C123" s="432"/>
      <c r="D123" s="432"/>
      <c r="E123" s="432"/>
    </row>
  </sheetData>
  <mergeCells count="22">
    <mergeCell ref="B121:C121"/>
    <mergeCell ref="A123:E123"/>
    <mergeCell ref="A100:G100"/>
    <mergeCell ref="B109:E109"/>
    <mergeCell ref="B103:F103"/>
    <mergeCell ref="A110:G110"/>
    <mergeCell ref="B113:D113"/>
    <mergeCell ref="B84:E84"/>
    <mergeCell ref="B75:F75"/>
    <mergeCell ref="A86:G86"/>
    <mergeCell ref="B98:E98"/>
    <mergeCell ref="B89:F89"/>
    <mergeCell ref="B12:F12"/>
    <mergeCell ref="B2:G2"/>
    <mergeCell ref="B15:G15"/>
    <mergeCell ref="B71:H71"/>
    <mergeCell ref="B69:F69"/>
    <mergeCell ref="B17:H17"/>
    <mergeCell ref="B39:C39"/>
    <mergeCell ref="B44:C44"/>
    <mergeCell ref="B61:C61"/>
    <mergeCell ref="B67:C67"/>
  </mergeCells>
  <pageMargins left="0.7" right="0.7" top="0.75" bottom="0.75" header="0.3" footer="0.3"/>
  <pageSetup scale="68" orientation="portrait" r:id="rId1"/>
  <rowBreaks count="1" manualBreakCount="1">
    <brk id="6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51" zoomScale="42" zoomScaleSheetLayoutView="42" workbookViewId="0">
      <selection activeCell="E16" sqref="E16"/>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4" width="12.85546875" bestFit="1" customWidth="1"/>
    <col min="15" max="16" width="11.7109375" bestFit="1" customWidth="1"/>
    <col min="17" max="17" width="10.5703125" bestFit="1" customWidth="1"/>
  </cols>
  <sheetData>
    <row r="2" spans="1:11" ht="18.75">
      <c r="A2" s="419" t="s">
        <v>570</v>
      </c>
      <c r="B2" s="419"/>
      <c r="C2" s="419"/>
      <c r="D2" s="419"/>
      <c r="E2" s="419"/>
      <c r="F2" s="419"/>
      <c r="G2" s="419"/>
      <c r="H2" s="419"/>
      <c r="I2" s="419"/>
      <c r="J2" s="419"/>
      <c r="K2" s="419"/>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400</v>
      </c>
      <c r="D6" s="148" t="s">
        <v>292</v>
      </c>
      <c r="E6" s="120" t="s">
        <v>2</v>
      </c>
      <c r="F6" s="120" t="s">
        <v>3</v>
      </c>
      <c r="G6" s="120" t="s">
        <v>4</v>
      </c>
      <c r="H6" s="120" t="s">
        <v>5</v>
      </c>
      <c r="I6" s="120" t="s">
        <v>6</v>
      </c>
      <c r="J6" s="120" t="s">
        <v>171</v>
      </c>
      <c r="K6" s="120" t="s">
        <v>170</v>
      </c>
    </row>
    <row r="7" spans="1:11">
      <c r="A7" s="95"/>
      <c r="B7" s="95"/>
      <c r="C7" s="95"/>
      <c r="D7" s="95"/>
      <c r="E7" s="95"/>
      <c r="F7" s="95"/>
      <c r="G7" s="95"/>
      <c r="H7" s="95"/>
      <c r="I7" s="95"/>
      <c r="J7" s="95"/>
      <c r="K7" s="95"/>
    </row>
    <row r="8" spans="1:11">
      <c r="A8" s="95" t="s">
        <v>335</v>
      </c>
      <c r="B8" s="95" t="s">
        <v>401</v>
      </c>
      <c r="C8" s="233">
        <v>1</v>
      </c>
      <c r="D8" s="257">
        <v>15000</v>
      </c>
      <c r="E8" s="96">
        <f>$C8*$D8*12*E$4</f>
        <v>180000</v>
      </c>
      <c r="F8" s="96">
        <f t="shared" ref="F8:K8" si="1">$C8*$D8*12*F$4</f>
        <v>189000</v>
      </c>
      <c r="G8" s="96">
        <f t="shared" si="1"/>
        <v>198450</v>
      </c>
      <c r="H8" s="96">
        <f t="shared" si="1"/>
        <v>208372.50000000003</v>
      </c>
      <c r="I8" s="96">
        <f t="shared" si="1"/>
        <v>218791.12500000003</v>
      </c>
      <c r="J8" s="96">
        <f t="shared" si="1"/>
        <v>229730.68125000005</v>
      </c>
      <c r="K8" s="96">
        <f t="shared" si="1"/>
        <v>241217.21531250008</v>
      </c>
    </row>
    <row r="9" spans="1:11">
      <c r="A9" s="95" t="s">
        <v>191</v>
      </c>
      <c r="B9" s="95" t="s">
        <v>401</v>
      </c>
      <c r="C9" s="233">
        <v>1</v>
      </c>
      <c r="D9" s="257">
        <v>8000</v>
      </c>
      <c r="E9" s="96">
        <f>$C9*$D9*12*E$4</f>
        <v>96000</v>
      </c>
      <c r="F9" s="96">
        <f t="shared" ref="F9:K10" si="2">$C9*$D9*12*F$4</f>
        <v>100800</v>
      </c>
      <c r="G9" s="96">
        <f t="shared" si="2"/>
        <v>105840</v>
      </c>
      <c r="H9" s="96">
        <f t="shared" si="2"/>
        <v>111132.00000000001</v>
      </c>
      <c r="I9" s="96">
        <f t="shared" si="2"/>
        <v>116688.60000000002</v>
      </c>
      <c r="J9" s="96">
        <f t="shared" si="2"/>
        <v>122523.03000000003</v>
      </c>
      <c r="K9" s="96">
        <f t="shared" si="2"/>
        <v>128649.18150000004</v>
      </c>
    </row>
    <row r="10" spans="1:11">
      <c r="A10" s="95" t="s">
        <v>196</v>
      </c>
      <c r="B10" s="95" t="s">
        <v>401</v>
      </c>
      <c r="C10" s="233">
        <v>2</v>
      </c>
      <c r="D10" s="257">
        <v>3500</v>
      </c>
      <c r="E10" s="96">
        <f>$C10*$D10*12*E$4</f>
        <v>84000</v>
      </c>
      <c r="F10" s="96">
        <f t="shared" si="2"/>
        <v>88200</v>
      </c>
      <c r="G10" s="96">
        <f t="shared" si="2"/>
        <v>92610</v>
      </c>
      <c r="H10" s="96">
        <f t="shared" si="2"/>
        <v>97240.500000000015</v>
      </c>
      <c r="I10" s="96">
        <f t="shared" si="2"/>
        <v>102102.52500000002</v>
      </c>
      <c r="J10" s="96">
        <f t="shared" si="2"/>
        <v>107207.65125000002</v>
      </c>
      <c r="K10" s="96">
        <f t="shared" si="2"/>
        <v>112568.03381250004</v>
      </c>
    </row>
    <row r="11" spans="1:11">
      <c r="A11" s="95" t="s">
        <v>131</v>
      </c>
      <c r="B11" s="95" t="s">
        <v>402</v>
      </c>
      <c r="C11" s="95">
        <v>12</v>
      </c>
      <c r="D11" s="257">
        <v>750</v>
      </c>
      <c r="E11" s="96">
        <f>$C11*$D11*E$4</f>
        <v>9000</v>
      </c>
      <c r="F11" s="96">
        <f t="shared" ref="F11:K15" si="3">$C11*$D11*F$4</f>
        <v>9450</v>
      </c>
      <c r="G11" s="96">
        <f t="shared" si="3"/>
        <v>9922.5</v>
      </c>
      <c r="H11" s="96">
        <f t="shared" si="3"/>
        <v>10418.625000000002</v>
      </c>
      <c r="I11" s="96">
        <f t="shared" si="3"/>
        <v>10939.556250000001</v>
      </c>
      <c r="J11" s="96">
        <f t="shared" si="3"/>
        <v>11486.534062500003</v>
      </c>
      <c r="K11" s="96">
        <f t="shared" si="3"/>
        <v>12060.860765625004</v>
      </c>
    </row>
    <row r="12" spans="1:11">
      <c r="A12" s="95" t="s">
        <v>10</v>
      </c>
      <c r="B12" s="95" t="s">
        <v>402</v>
      </c>
      <c r="C12" s="95">
        <v>12</v>
      </c>
      <c r="D12" s="257">
        <v>2500</v>
      </c>
      <c r="E12" s="96">
        <f t="shared" ref="E12:E15" si="4">$C12*$D12*E$4</f>
        <v>30000</v>
      </c>
      <c r="F12" s="96">
        <f t="shared" si="3"/>
        <v>31500</v>
      </c>
      <c r="G12" s="96">
        <f t="shared" si="3"/>
        <v>33075</v>
      </c>
      <c r="H12" s="96">
        <f t="shared" si="3"/>
        <v>34728.750000000007</v>
      </c>
      <c r="I12" s="96">
        <f t="shared" si="3"/>
        <v>36465.187500000007</v>
      </c>
      <c r="J12" s="96">
        <f t="shared" si="3"/>
        <v>38288.446875000009</v>
      </c>
      <c r="K12" s="96">
        <f t="shared" si="3"/>
        <v>40202.869218750013</v>
      </c>
    </row>
    <row r="13" spans="1:11">
      <c r="A13" s="95" t="s">
        <v>192</v>
      </c>
      <c r="B13" s="95" t="s">
        <v>402</v>
      </c>
      <c r="C13" s="95">
        <v>12</v>
      </c>
      <c r="D13" s="257">
        <v>5000</v>
      </c>
      <c r="E13" s="96">
        <f t="shared" si="4"/>
        <v>60000</v>
      </c>
      <c r="F13" s="96">
        <f t="shared" si="3"/>
        <v>63000</v>
      </c>
      <c r="G13" s="96">
        <f t="shared" si="3"/>
        <v>66150</v>
      </c>
      <c r="H13" s="96">
        <f t="shared" si="3"/>
        <v>69457.500000000015</v>
      </c>
      <c r="I13" s="96">
        <f t="shared" si="3"/>
        <v>72930.375000000015</v>
      </c>
      <c r="J13" s="96">
        <f t="shared" si="3"/>
        <v>76576.893750000017</v>
      </c>
      <c r="K13" s="96">
        <f t="shared" si="3"/>
        <v>80405.738437500026</v>
      </c>
    </row>
    <row r="14" spans="1:11">
      <c r="A14" s="95" t="s">
        <v>162</v>
      </c>
      <c r="B14" s="95" t="s">
        <v>402</v>
      </c>
      <c r="C14" s="95">
        <v>12</v>
      </c>
      <c r="D14" s="257">
        <v>10000</v>
      </c>
      <c r="E14" s="96">
        <f t="shared" si="4"/>
        <v>120000</v>
      </c>
      <c r="F14" s="96">
        <f t="shared" si="3"/>
        <v>126000</v>
      </c>
      <c r="G14" s="96">
        <f t="shared" si="3"/>
        <v>132300</v>
      </c>
      <c r="H14" s="96">
        <f t="shared" si="3"/>
        <v>138915.00000000003</v>
      </c>
      <c r="I14" s="96">
        <f t="shared" si="3"/>
        <v>145860.75000000003</v>
      </c>
      <c r="J14" s="96">
        <f t="shared" si="3"/>
        <v>153153.78750000003</v>
      </c>
      <c r="K14" s="96">
        <f t="shared" si="3"/>
        <v>160811.47687500005</v>
      </c>
    </row>
    <row r="15" spans="1:11">
      <c r="A15" s="95" t="s">
        <v>193</v>
      </c>
      <c r="B15" s="95" t="s">
        <v>402</v>
      </c>
      <c r="C15" s="95">
        <v>12</v>
      </c>
      <c r="D15" s="257">
        <v>7500</v>
      </c>
      <c r="E15" s="96">
        <f t="shared" si="4"/>
        <v>90000</v>
      </c>
      <c r="F15" s="96">
        <f t="shared" si="3"/>
        <v>94500</v>
      </c>
      <c r="G15" s="96">
        <f t="shared" si="3"/>
        <v>99225</v>
      </c>
      <c r="H15" s="96">
        <f t="shared" si="3"/>
        <v>104186.25000000001</v>
      </c>
      <c r="I15" s="96">
        <f t="shared" si="3"/>
        <v>109395.56250000001</v>
      </c>
      <c r="J15" s="96">
        <f t="shared" si="3"/>
        <v>114865.34062500003</v>
      </c>
      <c r="K15" s="96">
        <f t="shared" si="3"/>
        <v>120608.60765625004</v>
      </c>
    </row>
    <row r="16" spans="1:11">
      <c r="A16" s="95" t="s">
        <v>194</v>
      </c>
      <c r="B16" s="95" t="s">
        <v>403</v>
      </c>
      <c r="C16" s="95">
        <v>1</v>
      </c>
      <c r="D16" s="257">
        <v>15000</v>
      </c>
      <c r="E16" s="96">
        <f>$D16*E$4*$C16</f>
        <v>15000</v>
      </c>
      <c r="F16" s="96">
        <f t="shared" ref="F16:K22" si="5">$D16*F$4*$C16</f>
        <v>15750</v>
      </c>
      <c r="G16" s="96">
        <f t="shared" si="5"/>
        <v>16537.5</v>
      </c>
      <c r="H16" s="96">
        <f t="shared" si="5"/>
        <v>17364.375000000004</v>
      </c>
      <c r="I16" s="96">
        <f t="shared" si="5"/>
        <v>18232.593750000004</v>
      </c>
      <c r="J16" s="96">
        <f t="shared" si="5"/>
        <v>19144.223437500004</v>
      </c>
      <c r="K16" s="96">
        <f t="shared" si="5"/>
        <v>20101.434609375006</v>
      </c>
    </row>
    <row r="17" spans="1:17">
      <c r="A17" s="95"/>
      <c r="B17" s="95"/>
      <c r="C17" s="95"/>
      <c r="D17" s="257"/>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257"/>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257"/>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684000</v>
      </c>
      <c r="F23" s="115">
        <f t="shared" ref="F23:K23" si="7">SUM(F8:F22)</f>
        <v>718200</v>
      </c>
      <c r="G23" s="115">
        <f t="shared" si="7"/>
        <v>754110</v>
      </c>
      <c r="H23" s="115">
        <f t="shared" si="7"/>
        <v>791815.50000000012</v>
      </c>
      <c r="I23" s="115">
        <f t="shared" si="7"/>
        <v>831406.27500000014</v>
      </c>
      <c r="J23" s="115">
        <f t="shared" si="7"/>
        <v>872976.58875000023</v>
      </c>
      <c r="K23" s="115">
        <f t="shared" si="7"/>
        <v>916625.41818750033</v>
      </c>
    </row>
    <row r="28" spans="1:17">
      <c r="A28" s="436"/>
      <c r="B28" s="436"/>
      <c r="C28" s="436"/>
      <c r="D28" s="436"/>
      <c r="E28" s="436"/>
      <c r="F28" s="436"/>
      <c r="G28" s="436"/>
      <c r="H28" s="436"/>
      <c r="I28" s="436"/>
      <c r="J28" s="436"/>
      <c r="K28" s="436"/>
      <c r="L28" s="436"/>
      <c r="M28" s="436"/>
      <c r="N28" s="436"/>
      <c r="O28" s="436"/>
    </row>
    <row r="29" spans="1:17" ht="18.75">
      <c r="A29" s="434" t="s">
        <v>571</v>
      </c>
      <c r="B29" s="434"/>
      <c r="C29" s="434"/>
      <c r="D29" s="434"/>
      <c r="E29" s="434"/>
      <c r="F29" s="434"/>
      <c r="G29" s="434"/>
      <c r="H29" s="434"/>
      <c r="I29" s="434"/>
      <c r="J29" s="434"/>
      <c r="K29" s="434"/>
      <c r="L29" s="434"/>
      <c r="M29" s="434"/>
      <c r="N29" s="434"/>
      <c r="O29" s="434"/>
      <c r="P29" s="434"/>
      <c r="Q29" s="434"/>
    </row>
    <row r="30" spans="1:17" s="13" customFormat="1">
      <c r="A30" s="149"/>
      <c r="B30" s="149"/>
      <c r="C30" s="149"/>
      <c r="D30" s="149"/>
      <c r="E30" s="149"/>
      <c r="F30" s="149"/>
      <c r="G30" s="149"/>
      <c r="H30" s="149"/>
      <c r="I30" s="149"/>
      <c r="J30" s="149"/>
      <c r="K30" s="149"/>
      <c r="L30" s="149"/>
      <c r="M30" s="149"/>
      <c r="N30" s="149"/>
      <c r="O30" s="149"/>
    </row>
    <row r="31" spans="1:17">
      <c r="A31" s="94"/>
      <c r="B31" s="94"/>
      <c r="C31" s="437" t="s">
        <v>197</v>
      </c>
      <c r="D31" s="437"/>
      <c r="E31" s="437"/>
      <c r="F31" s="437"/>
      <c r="G31" s="437"/>
      <c r="H31" s="437"/>
      <c r="I31" s="437"/>
      <c r="J31" s="94"/>
      <c r="K31" s="438" t="s">
        <v>198</v>
      </c>
      <c r="L31" s="438"/>
      <c r="M31" s="438"/>
      <c r="N31" s="438"/>
      <c r="O31" s="438"/>
      <c r="P31" s="438"/>
      <c r="Q31" s="438"/>
    </row>
    <row r="32" spans="1:17">
      <c r="A32" s="169" t="s">
        <v>0</v>
      </c>
      <c r="B32" s="162"/>
      <c r="C32" s="59" t="s">
        <v>2</v>
      </c>
      <c r="D32" s="59" t="s">
        <v>3</v>
      </c>
      <c r="E32" s="59" t="s">
        <v>4</v>
      </c>
      <c r="F32" s="59" t="s">
        <v>5</v>
      </c>
      <c r="G32" s="59" t="s">
        <v>6</v>
      </c>
      <c r="H32" s="59" t="s">
        <v>171</v>
      </c>
      <c r="I32" s="59" t="s">
        <v>170</v>
      </c>
      <c r="J32" s="170"/>
      <c r="K32" s="59" t="s">
        <v>2</v>
      </c>
      <c r="L32" s="59" t="s">
        <v>3</v>
      </c>
      <c r="M32" s="59" t="s">
        <v>4</v>
      </c>
      <c r="N32" s="59" t="s">
        <v>5</v>
      </c>
      <c r="O32" s="59" t="s">
        <v>6</v>
      </c>
      <c r="P32" s="59" t="s">
        <v>171</v>
      </c>
      <c r="Q32" s="59" t="s">
        <v>170</v>
      </c>
    </row>
    <row r="33" spans="1:17">
      <c r="A33" s="163" t="s">
        <v>199</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203</v>
      </c>
      <c r="B36" s="166"/>
      <c r="C36" s="99"/>
      <c r="D36" s="99"/>
      <c r="E36" s="99"/>
      <c r="F36" s="99"/>
      <c r="G36" s="99"/>
      <c r="H36" s="99"/>
      <c r="I36" s="99"/>
      <c r="J36" s="99"/>
      <c r="K36" s="99"/>
      <c r="L36" s="99"/>
      <c r="M36" s="99"/>
      <c r="N36" s="99"/>
      <c r="O36" s="99"/>
      <c r="P36" s="99"/>
      <c r="Q36" s="99"/>
    </row>
    <row r="37" spans="1:17">
      <c r="A37" s="165" t="s">
        <v>200</v>
      </c>
      <c r="B37" s="165"/>
      <c r="C37" s="167">
        <f>'1.Project Cost and MOF'!D5</f>
        <v>5246000</v>
      </c>
      <c r="D37" s="167">
        <f t="shared" ref="D37:I37" si="8">C40</f>
        <v>5079701.8</v>
      </c>
      <c r="E37" s="167">
        <f t="shared" si="8"/>
        <v>4913403.5999999996</v>
      </c>
      <c r="F37" s="167">
        <f t="shared" si="8"/>
        <v>4747105.3999999994</v>
      </c>
      <c r="G37" s="167">
        <f t="shared" si="8"/>
        <v>4580807.1999999993</v>
      </c>
      <c r="H37" s="167">
        <f t="shared" si="8"/>
        <v>4414508.9999999991</v>
      </c>
      <c r="I37" s="167">
        <f t="shared" si="8"/>
        <v>4248210.7999999989</v>
      </c>
      <c r="J37" s="99"/>
      <c r="K37" s="167">
        <f>C37</f>
        <v>5246000</v>
      </c>
      <c r="L37" s="167">
        <f t="shared" ref="L37:Q37" si="9">K40</f>
        <v>4721400</v>
      </c>
      <c r="M37" s="167">
        <f t="shared" si="9"/>
        <v>4249260</v>
      </c>
      <c r="N37" s="167">
        <f t="shared" si="9"/>
        <v>3824334</v>
      </c>
      <c r="O37" s="167">
        <f t="shared" si="9"/>
        <v>3441900.6</v>
      </c>
      <c r="P37" s="167">
        <f t="shared" si="9"/>
        <v>3097710.54</v>
      </c>
      <c r="Q37" s="167">
        <f t="shared" si="9"/>
        <v>2787939.486</v>
      </c>
    </row>
    <row r="38" spans="1:17">
      <c r="A38" s="165" t="s">
        <v>17</v>
      </c>
      <c r="B38" s="165"/>
      <c r="C38" s="167">
        <f t="shared" ref="C38:I38" si="10">$C$37*$B$74</f>
        <v>166298.19999999998</v>
      </c>
      <c r="D38" s="167">
        <f t="shared" si="10"/>
        <v>166298.19999999998</v>
      </c>
      <c r="E38" s="167">
        <f t="shared" si="10"/>
        <v>166298.19999999998</v>
      </c>
      <c r="F38" s="167">
        <f t="shared" si="10"/>
        <v>166298.19999999998</v>
      </c>
      <c r="G38" s="167">
        <f t="shared" si="10"/>
        <v>166298.19999999998</v>
      </c>
      <c r="H38" s="167">
        <f t="shared" si="10"/>
        <v>166298.19999999998</v>
      </c>
      <c r="I38" s="167">
        <f t="shared" si="10"/>
        <v>166298.19999999998</v>
      </c>
      <c r="J38" s="99"/>
      <c r="K38" s="167">
        <f t="shared" ref="K38:Q38" si="11">K37*$C$74</f>
        <v>524600</v>
      </c>
      <c r="L38" s="167">
        <f t="shared" si="11"/>
        <v>472140</v>
      </c>
      <c r="M38" s="167">
        <f t="shared" si="11"/>
        <v>424926</v>
      </c>
      <c r="N38" s="167">
        <f t="shared" si="11"/>
        <v>382433.4</v>
      </c>
      <c r="O38" s="167">
        <f t="shared" si="11"/>
        <v>344190.06000000006</v>
      </c>
      <c r="P38" s="167">
        <f t="shared" si="11"/>
        <v>309771.054</v>
      </c>
      <c r="Q38" s="167">
        <f t="shared" si="11"/>
        <v>278793.9486</v>
      </c>
    </row>
    <row r="39" spans="1:17">
      <c r="A39" s="165" t="s">
        <v>201</v>
      </c>
      <c r="B39" s="165"/>
      <c r="C39" s="167">
        <f>C38</f>
        <v>166298.19999999998</v>
      </c>
      <c r="D39" s="167">
        <f t="shared" ref="D39:I39" si="12">C39+D38</f>
        <v>332596.39999999997</v>
      </c>
      <c r="E39" s="167">
        <f t="shared" si="12"/>
        <v>498894.6</v>
      </c>
      <c r="F39" s="167">
        <f t="shared" si="12"/>
        <v>665192.79999999993</v>
      </c>
      <c r="G39" s="167">
        <f t="shared" si="12"/>
        <v>831490.99999999988</v>
      </c>
      <c r="H39" s="167">
        <f t="shared" si="12"/>
        <v>997789.19999999984</v>
      </c>
      <c r="I39" s="167">
        <f t="shared" si="12"/>
        <v>1164087.3999999999</v>
      </c>
      <c r="J39" s="99"/>
      <c r="K39" s="167">
        <f>K38</f>
        <v>524600</v>
      </c>
      <c r="L39" s="167">
        <f t="shared" ref="L39:Q39" si="13">K39+L38</f>
        <v>996740</v>
      </c>
      <c r="M39" s="167">
        <f t="shared" si="13"/>
        <v>1421666</v>
      </c>
      <c r="N39" s="167">
        <f t="shared" si="13"/>
        <v>1804099.4</v>
      </c>
      <c r="O39" s="167">
        <f t="shared" si="13"/>
        <v>2148289.46</v>
      </c>
      <c r="P39" s="167">
        <f t="shared" si="13"/>
        <v>2458060.514</v>
      </c>
      <c r="Q39" s="167">
        <f t="shared" si="13"/>
        <v>2736854.4626000002</v>
      </c>
    </row>
    <row r="40" spans="1:17">
      <c r="A40" s="165" t="s">
        <v>202</v>
      </c>
      <c r="B40" s="165"/>
      <c r="C40" s="167">
        <f t="shared" ref="C40:I40" si="14">C37-C38</f>
        <v>5079701.8</v>
      </c>
      <c r="D40" s="167">
        <f t="shared" si="14"/>
        <v>4913403.5999999996</v>
      </c>
      <c r="E40" s="167">
        <f t="shared" si="14"/>
        <v>4747105.3999999994</v>
      </c>
      <c r="F40" s="167">
        <f t="shared" si="14"/>
        <v>4580807.1999999993</v>
      </c>
      <c r="G40" s="167">
        <f t="shared" si="14"/>
        <v>4414508.9999999991</v>
      </c>
      <c r="H40" s="167">
        <f t="shared" si="14"/>
        <v>4248210.7999999989</v>
      </c>
      <c r="I40" s="167">
        <f t="shared" si="14"/>
        <v>4081912.5999999987</v>
      </c>
      <c r="J40" s="99"/>
      <c r="K40" s="167">
        <f t="shared" ref="K40:Q40" si="15">K37-K38</f>
        <v>4721400</v>
      </c>
      <c r="L40" s="167">
        <f t="shared" si="15"/>
        <v>4249260</v>
      </c>
      <c r="M40" s="167">
        <f t="shared" si="15"/>
        <v>3824334</v>
      </c>
      <c r="N40" s="167">
        <f t="shared" si="15"/>
        <v>3441900.6</v>
      </c>
      <c r="O40" s="167">
        <f t="shared" si="15"/>
        <v>3097710.54</v>
      </c>
      <c r="P40" s="167">
        <f t="shared" si="15"/>
        <v>2787939.486</v>
      </c>
      <c r="Q40" s="167">
        <f t="shared" si="15"/>
        <v>2509145.5373999998</v>
      </c>
    </row>
    <row r="41" spans="1:17">
      <c r="A41" s="165"/>
      <c r="B41" s="165"/>
      <c r="C41" s="167"/>
      <c r="D41" s="167"/>
      <c r="E41" s="167"/>
      <c r="F41" s="167"/>
      <c r="G41" s="167"/>
      <c r="H41" s="167"/>
      <c r="I41" s="167"/>
      <c r="J41" s="99"/>
      <c r="K41" s="167"/>
      <c r="L41" s="167"/>
      <c r="M41" s="167"/>
      <c r="N41" s="167"/>
      <c r="O41" s="167"/>
      <c r="P41" s="167"/>
      <c r="Q41" s="167"/>
    </row>
    <row r="42" spans="1:17">
      <c r="A42" s="166" t="s">
        <v>204</v>
      </c>
      <c r="B42" s="166"/>
      <c r="C42" s="167"/>
      <c r="D42" s="167"/>
      <c r="E42" s="167"/>
      <c r="F42" s="167"/>
      <c r="G42" s="167"/>
      <c r="H42" s="167"/>
      <c r="I42" s="167"/>
      <c r="J42" s="99"/>
      <c r="K42" s="167"/>
      <c r="L42" s="167"/>
      <c r="M42" s="167"/>
      <c r="N42" s="167"/>
      <c r="O42" s="167"/>
      <c r="P42" s="167"/>
      <c r="Q42" s="167"/>
    </row>
    <row r="43" spans="1:17">
      <c r="A43" s="165" t="s">
        <v>200</v>
      </c>
      <c r="B43" s="165"/>
      <c r="C43" s="167">
        <f>'1.Project Cost and MOF'!D6</f>
        <v>9623963</v>
      </c>
      <c r="D43" s="167">
        <f t="shared" ref="D43:I43" si="16">C46</f>
        <v>9014766.1421000008</v>
      </c>
      <c r="E43" s="167">
        <f t="shared" si="16"/>
        <v>8405569.2842000015</v>
      </c>
      <c r="F43" s="167">
        <f t="shared" si="16"/>
        <v>7796372.4263000013</v>
      </c>
      <c r="G43" s="167">
        <f t="shared" si="16"/>
        <v>7187175.5684000012</v>
      </c>
      <c r="H43" s="167">
        <f t="shared" si="16"/>
        <v>6577978.710500001</v>
      </c>
      <c r="I43" s="167">
        <f t="shared" si="16"/>
        <v>5968781.8526000008</v>
      </c>
      <c r="J43" s="99"/>
      <c r="K43" s="167">
        <f>C43</f>
        <v>9623963</v>
      </c>
      <c r="L43" s="167">
        <f t="shared" ref="L43:Q43" si="17">K46</f>
        <v>8180368.5499999998</v>
      </c>
      <c r="M43" s="167">
        <f t="shared" si="17"/>
        <v>6953313.2675000001</v>
      </c>
      <c r="N43" s="167">
        <f t="shared" si="17"/>
        <v>5910316.2773749996</v>
      </c>
      <c r="O43" s="167">
        <f t="shared" si="17"/>
        <v>5023768.8357687499</v>
      </c>
      <c r="P43" s="167">
        <f t="shared" si="17"/>
        <v>4270203.5104034375</v>
      </c>
      <c r="Q43" s="167">
        <f t="shared" si="17"/>
        <v>3629672.9838429219</v>
      </c>
    </row>
    <row r="44" spans="1:17">
      <c r="A44" s="165" t="s">
        <v>17</v>
      </c>
      <c r="B44" s="165"/>
      <c r="C44" s="167">
        <f t="shared" ref="C44:I44" si="18">$C$43*$B$78</f>
        <v>609196.85789999994</v>
      </c>
      <c r="D44" s="167">
        <f t="shared" si="18"/>
        <v>609196.85789999994</v>
      </c>
      <c r="E44" s="167">
        <f t="shared" si="18"/>
        <v>609196.85789999994</v>
      </c>
      <c r="F44" s="167">
        <f t="shared" si="18"/>
        <v>609196.85789999994</v>
      </c>
      <c r="G44" s="167">
        <f t="shared" si="18"/>
        <v>609196.85789999994</v>
      </c>
      <c r="H44" s="167">
        <f t="shared" si="18"/>
        <v>609196.85789999994</v>
      </c>
      <c r="I44" s="167">
        <f t="shared" si="18"/>
        <v>609196.85789999994</v>
      </c>
      <c r="J44" s="99"/>
      <c r="K44" s="167">
        <f t="shared" ref="K44:Q44" si="19">K43*$C$78</f>
        <v>1443594.45</v>
      </c>
      <c r="L44" s="167">
        <f t="shared" si="19"/>
        <v>1227055.2825</v>
      </c>
      <c r="M44" s="167">
        <f t="shared" si="19"/>
        <v>1042996.990125</v>
      </c>
      <c r="N44" s="167">
        <f t="shared" si="19"/>
        <v>886547.44160624989</v>
      </c>
      <c r="O44" s="167">
        <f t="shared" si="19"/>
        <v>753565.32536531251</v>
      </c>
      <c r="P44" s="167">
        <f t="shared" si="19"/>
        <v>640530.52656051563</v>
      </c>
      <c r="Q44" s="167">
        <f t="shared" si="19"/>
        <v>544450.94757643831</v>
      </c>
    </row>
    <row r="45" spans="1:17">
      <c r="A45" s="165" t="s">
        <v>201</v>
      </c>
      <c r="B45" s="165"/>
      <c r="C45" s="167">
        <f>C44</f>
        <v>609196.85789999994</v>
      </c>
      <c r="D45" s="167">
        <f t="shared" ref="D45:I45" si="20">C45+D44</f>
        <v>1218393.7157999999</v>
      </c>
      <c r="E45" s="167">
        <f t="shared" si="20"/>
        <v>1827590.5736999998</v>
      </c>
      <c r="F45" s="167">
        <f t="shared" si="20"/>
        <v>2436787.4315999998</v>
      </c>
      <c r="G45" s="167">
        <f t="shared" si="20"/>
        <v>3045984.2895</v>
      </c>
      <c r="H45" s="167">
        <f t="shared" si="20"/>
        <v>3655181.1474000001</v>
      </c>
      <c r="I45" s="167">
        <f t="shared" si="20"/>
        <v>4264378.0053000003</v>
      </c>
      <c r="J45" s="99"/>
      <c r="K45" s="167">
        <f>K44</f>
        <v>1443594.45</v>
      </c>
      <c r="L45" s="167">
        <f t="shared" ref="L45:Q45" si="21">K45+L44</f>
        <v>2670649.7324999999</v>
      </c>
      <c r="M45" s="167">
        <f t="shared" si="21"/>
        <v>3713646.7226249999</v>
      </c>
      <c r="N45" s="167">
        <f t="shared" si="21"/>
        <v>4600194.1642312501</v>
      </c>
      <c r="O45" s="167">
        <f t="shared" si="21"/>
        <v>5353759.4895965625</v>
      </c>
      <c r="P45" s="167">
        <f t="shared" si="21"/>
        <v>5994290.0161570776</v>
      </c>
      <c r="Q45" s="167">
        <f t="shared" si="21"/>
        <v>6538740.9637335157</v>
      </c>
    </row>
    <row r="46" spans="1:17">
      <c r="A46" s="165" t="s">
        <v>202</v>
      </c>
      <c r="B46" s="165"/>
      <c r="C46" s="167">
        <f t="shared" ref="C46:I46" si="22">C43-C44</f>
        <v>9014766.1421000008</v>
      </c>
      <c r="D46" s="167">
        <f t="shared" si="22"/>
        <v>8405569.2842000015</v>
      </c>
      <c r="E46" s="167">
        <f t="shared" si="22"/>
        <v>7796372.4263000013</v>
      </c>
      <c r="F46" s="167">
        <f t="shared" si="22"/>
        <v>7187175.5684000012</v>
      </c>
      <c r="G46" s="167">
        <f t="shared" si="22"/>
        <v>6577978.710500001</v>
      </c>
      <c r="H46" s="167">
        <f t="shared" si="22"/>
        <v>5968781.8526000008</v>
      </c>
      <c r="I46" s="167">
        <f t="shared" si="22"/>
        <v>5359584.9947000006</v>
      </c>
      <c r="J46" s="99"/>
      <c r="K46" s="167">
        <f t="shared" ref="K46:Q46" si="23">K43-K44</f>
        <v>8180368.5499999998</v>
      </c>
      <c r="L46" s="167">
        <f t="shared" si="23"/>
        <v>6953313.2675000001</v>
      </c>
      <c r="M46" s="167">
        <f t="shared" si="23"/>
        <v>5910316.2773749996</v>
      </c>
      <c r="N46" s="167">
        <f t="shared" si="23"/>
        <v>5023768.8357687499</v>
      </c>
      <c r="O46" s="167">
        <f t="shared" si="23"/>
        <v>4270203.5104034375</v>
      </c>
      <c r="P46" s="167">
        <f t="shared" si="23"/>
        <v>3629672.9838429219</v>
      </c>
      <c r="Q46" s="167">
        <f t="shared" si="23"/>
        <v>3085222.0362664834</v>
      </c>
    </row>
    <row r="47" spans="1:17">
      <c r="A47" s="165"/>
      <c r="B47" s="165"/>
      <c r="C47" s="167"/>
      <c r="D47" s="167"/>
      <c r="E47" s="167"/>
      <c r="F47" s="167"/>
      <c r="G47" s="167"/>
      <c r="H47" s="167"/>
      <c r="I47" s="167"/>
      <c r="J47" s="99"/>
      <c r="K47" s="167"/>
      <c r="L47" s="167"/>
      <c r="M47" s="167"/>
      <c r="N47" s="167"/>
      <c r="O47" s="167"/>
      <c r="P47" s="167"/>
      <c r="Q47" s="167"/>
    </row>
    <row r="48" spans="1:17">
      <c r="A48" s="166" t="s">
        <v>205</v>
      </c>
      <c r="B48" s="166"/>
      <c r="C48" s="167"/>
      <c r="D48" s="167"/>
      <c r="E48" s="167"/>
      <c r="F48" s="167"/>
      <c r="G48" s="167"/>
      <c r="H48" s="167"/>
      <c r="I48" s="167"/>
      <c r="J48" s="99"/>
      <c r="K48" s="167"/>
      <c r="L48" s="167"/>
      <c r="M48" s="167"/>
      <c r="N48" s="167"/>
      <c r="O48" s="167"/>
      <c r="P48" s="167"/>
      <c r="Q48" s="167"/>
    </row>
    <row r="49" spans="1:17">
      <c r="A49" s="165" t="s">
        <v>200</v>
      </c>
      <c r="B49" s="165"/>
      <c r="C49" s="167">
        <f>'1.Project Cost and MOF'!D7</f>
        <v>654468</v>
      </c>
      <c r="D49" s="167">
        <f t="shared" ref="D49:I49" si="24">C52</f>
        <v>589021.19999999995</v>
      </c>
      <c r="E49" s="167">
        <f t="shared" si="24"/>
        <v>523574.39999999997</v>
      </c>
      <c r="F49" s="167">
        <f t="shared" si="24"/>
        <v>458127.6</v>
      </c>
      <c r="G49" s="167">
        <f t="shared" si="24"/>
        <v>392680.8</v>
      </c>
      <c r="H49" s="167">
        <f t="shared" si="24"/>
        <v>327234</v>
      </c>
      <c r="I49" s="167">
        <f t="shared" si="24"/>
        <v>261787.2</v>
      </c>
      <c r="J49" s="99"/>
      <c r="K49" s="167">
        <f>C49</f>
        <v>654468</v>
      </c>
      <c r="L49" s="167">
        <f t="shared" ref="L49:Q49" si="25">K52</f>
        <v>589021.19999999995</v>
      </c>
      <c r="M49" s="167">
        <f t="shared" si="25"/>
        <v>530119.07999999996</v>
      </c>
      <c r="N49" s="167">
        <f t="shared" si="25"/>
        <v>477107.17199999996</v>
      </c>
      <c r="O49" s="167">
        <f t="shared" si="25"/>
        <v>429396.45479999995</v>
      </c>
      <c r="P49" s="167">
        <f t="shared" si="25"/>
        <v>386456.80931999994</v>
      </c>
      <c r="Q49" s="167">
        <f t="shared" si="25"/>
        <v>347811.12838799995</v>
      </c>
    </row>
    <row r="50" spans="1:17">
      <c r="A50" s="165" t="s">
        <v>17</v>
      </c>
      <c r="B50" s="165"/>
      <c r="C50" s="167">
        <f t="shared" ref="C50:I50" si="26">$C$49*$B$75</f>
        <v>65446.8</v>
      </c>
      <c r="D50" s="167">
        <f t="shared" si="26"/>
        <v>65446.8</v>
      </c>
      <c r="E50" s="167">
        <f t="shared" si="26"/>
        <v>65446.8</v>
      </c>
      <c r="F50" s="167">
        <f t="shared" si="26"/>
        <v>65446.8</v>
      </c>
      <c r="G50" s="167">
        <f t="shared" si="26"/>
        <v>65446.8</v>
      </c>
      <c r="H50" s="167">
        <f t="shared" si="26"/>
        <v>65446.8</v>
      </c>
      <c r="I50" s="167">
        <f t="shared" si="26"/>
        <v>65446.8</v>
      </c>
      <c r="J50" s="99"/>
      <c r="K50" s="167">
        <f t="shared" ref="K50:Q50" si="27">K49*$C$75</f>
        <v>65446.8</v>
      </c>
      <c r="L50" s="167">
        <f t="shared" si="27"/>
        <v>58902.119999999995</v>
      </c>
      <c r="M50" s="167">
        <f t="shared" si="27"/>
        <v>53011.907999999996</v>
      </c>
      <c r="N50" s="167">
        <f t="shared" si="27"/>
        <v>47710.717199999999</v>
      </c>
      <c r="O50" s="167">
        <f t="shared" si="27"/>
        <v>42939.645479999999</v>
      </c>
      <c r="P50" s="167">
        <f t="shared" si="27"/>
        <v>38645.680931999996</v>
      </c>
      <c r="Q50" s="167">
        <f t="shared" si="27"/>
        <v>34781.1128388</v>
      </c>
    </row>
    <row r="51" spans="1:17">
      <c r="A51" s="165" t="s">
        <v>201</v>
      </c>
      <c r="B51" s="165"/>
      <c r="C51" s="167">
        <f>C50</f>
        <v>65446.8</v>
      </c>
      <c r="D51" s="167">
        <f t="shared" ref="D51:I51" si="28">C51+D50</f>
        <v>130893.6</v>
      </c>
      <c r="E51" s="167">
        <f t="shared" si="28"/>
        <v>196340.40000000002</v>
      </c>
      <c r="F51" s="167">
        <f t="shared" si="28"/>
        <v>261787.2</v>
      </c>
      <c r="G51" s="167">
        <f t="shared" si="28"/>
        <v>327234</v>
      </c>
      <c r="H51" s="167">
        <f t="shared" si="28"/>
        <v>392680.8</v>
      </c>
      <c r="I51" s="167">
        <f t="shared" si="28"/>
        <v>458127.6</v>
      </c>
      <c r="J51" s="99"/>
      <c r="K51" s="167">
        <f>K50</f>
        <v>65446.8</v>
      </c>
      <c r="L51" s="167">
        <f t="shared" ref="L51:Q51" si="29">K51+L50</f>
        <v>124348.92</v>
      </c>
      <c r="M51" s="167">
        <f t="shared" si="29"/>
        <v>177360.82799999998</v>
      </c>
      <c r="N51" s="167">
        <f t="shared" si="29"/>
        <v>225071.54519999999</v>
      </c>
      <c r="O51" s="167">
        <f t="shared" si="29"/>
        <v>268011.19068</v>
      </c>
      <c r="P51" s="167">
        <f t="shared" si="29"/>
        <v>306656.87161199999</v>
      </c>
      <c r="Q51" s="167">
        <f t="shared" si="29"/>
        <v>341437.9844508</v>
      </c>
    </row>
    <row r="52" spans="1:17">
      <c r="A52" s="165" t="s">
        <v>202</v>
      </c>
      <c r="B52" s="165"/>
      <c r="C52" s="167">
        <f t="shared" ref="C52:I52" si="30">C49-C50</f>
        <v>589021.19999999995</v>
      </c>
      <c r="D52" s="167">
        <f t="shared" si="30"/>
        <v>523574.39999999997</v>
      </c>
      <c r="E52" s="167">
        <f t="shared" si="30"/>
        <v>458127.6</v>
      </c>
      <c r="F52" s="167">
        <f t="shared" si="30"/>
        <v>392680.8</v>
      </c>
      <c r="G52" s="167">
        <f t="shared" si="30"/>
        <v>327234</v>
      </c>
      <c r="H52" s="167">
        <f t="shared" si="30"/>
        <v>261787.2</v>
      </c>
      <c r="I52" s="167">
        <f t="shared" si="30"/>
        <v>196340.40000000002</v>
      </c>
      <c r="J52" s="99"/>
      <c r="K52" s="167">
        <f t="shared" ref="K52:Q52" si="31">K49-K50</f>
        <v>589021.19999999995</v>
      </c>
      <c r="L52" s="167">
        <f t="shared" si="31"/>
        <v>530119.07999999996</v>
      </c>
      <c r="M52" s="167">
        <f t="shared" si="31"/>
        <v>477107.17199999996</v>
      </c>
      <c r="N52" s="167">
        <f t="shared" si="31"/>
        <v>429396.45479999995</v>
      </c>
      <c r="O52" s="167">
        <f t="shared" si="31"/>
        <v>386456.80931999994</v>
      </c>
      <c r="P52" s="167">
        <f t="shared" si="31"/>
        <v>347811.12838799995</v>
      </c>
      <c r="Q52" s="167">
        <f t="shared" si="31"/>
        <v>313030.01554919995</v>
      </c>
    </row>
    <row r="53" spans="1:17">
      <c r="A53" s="165"/>
      <c r="B53" s="165"/>
      <c r="C53" s="167"/>
      <c r="D53" s="167"/>
      <c r="E53" s="167"/>
      <c r="F53" s="167"/>
      <c r="G53" s="167"/>
      <c r="H53" s="167"/>
      <c r="I53" s="167"/>
      <c r="J53" s="99"/>
      <c r="K53" s="167"/>
      <c r="L53" s="167"/>
      <c r="M53" s="167"/>
      <c r="N53" s="167"/>
      <c r="O53" s="167"/>
      <c r="P53" s="167"/>
      <c r="Q53" s="167"/>
    </row>
    <row r="54" spans="1:17">
      <c r="A54" s="166" t="s">
        <v>161</v>
      </c>
      <c r="B54" s="166"/>
      <c r="C54" s="167"/>
      <c r="D54" s="167"/>
      <c r="E54" s="167"/>
      <c r="F54" s="167"/>
      <c r="G54" s="167"/>
      <c r="H54" s="167"/>
      <c r="I54" s="167"/>
      <c r="J54" s="99"/>
      <c r="K54" s="167"/>
      <c r="L54" s="167"/>
      <c r="M54" s="167"/>
      <c r="N54" s="167"/>
      <c r="O54" s="167"/>
      <c r="P54" s="167"/>
      <c r="Q54" s="167"/>
    </row>
    <row r="55" spans="1:17">
      <c r="A55" s="165" t="s">
        <v>200</v>
      </c>
      <c r="B55" s="165"/>
      <c r="C55" s="167">
        <f>'1.Project Cost and MOF'!D9</f>
        <v>0</v>
      </c>
      <c r="D55" s="167">
        <f t="shared" ref="D55:I55" si="32">C58</f>
        <v>0</v>
      </c>
      <c r="E55" s="167">
        <f t="shared" si="32"/>
        <v>0</v>
      </c>
      <c r="F55" s="167">
        <f t="shared" si="32"/>
        <v>0</v>
      </c>
      <c r="G55" s="167">
        <f t="shared" si="32"/>
        <v>0</v>
      </c>
      <c r="H55" s="167">
        <f t="shared" si="32"/>
        <v>0</v>
      </c>
      <c r="I55" s="167">
        <f t="shared" si="32"/>
        <v>0</v>
      </c>
      <c r="J55" s="99"/>
      <c r="K55" s="167">
        <f>C55</f>
        <v>0</v>
      </c>
      <c r="L55" s="167">
        <f t="shared" ref="L55:Q55" si="33">K58</f>
        <v>0</v>
      </c>
      <c r="M55" s="167">
        <f t="shared" si="33"/>
        <v>0</v>
      </c>
      <c r="N55" s="167">
        <f t="shared" si="33"/>
        <v>0</v>
      </c>
      <c r="O55" s="167">
        <f t="shared" si="33"/>
        <v>0</v>
      </c>
      <c r="P55" s="167">
        <f t="shared" si="33"/>
        <v>0</v>
      </c>
      <c r="Q55" s="167">
        <f t="shared" si="33"/>
        <v>0</v>
      </c>
    </row>
    <row r="56" spans="1:17">
      <c r="A56" s="165" t="s">
        <v>17</v>
      </c>
      <c r="B56" s="165"/>
      <c r="C56" s="167">
        <f t="shared" ref="C56:I56" si="34">$C$55*$B$77</f>
        <v>0</v>
      </c>
      <c r="D56" s="167">
        <f t="shared" si="34"/>
        <v>0</v>
      </c>
      <c r="E56" s="167">
        <f t="shared" si="34"/>
        <v>0</v>
      </c>
      <c r="F56" s="167">
        <f t="shared" si="34"/>
        <v>0</v>
      </c>
      <c r="G56" s="167">
        <f t="shared" si="34"/>
        <v>0</v>
      </c>
      <c r="H56" s="167">
        <f t="shared" si="34"/>
        <v>0</v>
      </c>
      <c r="I56" s="167">
        <f t="shared" si="34"/>
        <v>0</v>
      </c>
      <c r="J56" s="99"/>
      <c r="K56" s="167">
        <f t="shared" ref="K56:Q56" si="35">K55*$C$77</f>
        <v>0</v>
      </c>
      <c r="L56" s="167">
        <f t="shared" si="35"/>
        <v>0</v>
      </c>
      <c r="M56" s="167">
        <f t="shared" si="35"/>
        <v>0</v>
      </c>
      <c r="N56" s="167">
        <f t="shared" si="35"/>
        <v>0</v>
      </c>
      <c r="O56" s="167">
        <f t="shared" si="35"/>
        <v>0</v>
      </c>
      <c r="P56" s="167">
        <f t="shared" si="35"/>
        <v>0</v>
      </c>
      <c r="Q56" s="167">
        <f t="shared" si="35"/>
        <v>0</v>
      </c>
    </row>
    <row r="57" spans="1:17">
      <c r="A57" s="165" t="s">
        <v>201</v>
      </c>
      <c r="B57" s="165"/>
      <c r="C57" s="167">
        <f>C56</f>
        <v>0</v>
      </c>
      <c r="D57" s="167">
        <f t="shared" ref="D57:I57" si="36">C57+D56</f>
        <v>0</v>
      </c>
      <c r="E57" s="167">
        <f t="shared" si="36"/>
        <v>0</v>
      </c>
      <c r="F57" s="167">
        <f t="shared" si="36"/>
        <v>0</v>
      </c>
      <c r="G57" s="167">
        <f t="shared" si="36"/>
        <v>0</v>
      </c>
      <c r="H57" s="167">
        <f t="shared" si="36"/>
        <v>0</v>
      </c>
      <c r="I57" s="167">
        <f t="shared" si="36"/>
        <v>0</v>
      </c>
      <c r="J57" s="99"/>
      <c r="K57" s="167">
        <f>K56</f>
        <v>0</v>
      </c>
      <c r="L57" s="167">
        <f t="shared" ref="L57:Q57" si="37">K57+L56</f>
        <v>0</v>
      </c>
      <c r="M57" s="167">
        <f t="shared" si="37"/>
        <v>0</v>
      </c>
      <c r="N57" s="167">
        <f t="shared" si="37"/>
        <v>0</v>
      </c>
      <c r="O57" s="167">
        <f t="shared" si="37"/>
        <v>0</v>
      </c>
      <c r="P57" s="167">
        <f t="shared" si="37"/>
        <v>0</v>
      </c>
      <c r="Q57" s="167">
        <f t="shared" si="37"/>
        <v>0</v>
      </c>
    </row>
    <row r="58" spans="1:17">
      <c r="A58" s="165" t="s">
        <v>202</v>
      </c>
      <c r="B58" s="165"/>
      <c r="C58" s="167">
        <f t="shared" ref="C58:I58" si="38">C55-C56</f>
        <v>0</v>
      </c>
      <c r="D58" s="167">
        <f t="shared" si="38"/>
        <v>0</v>
      </c>
      <c r="E58" s="167">
        <f t="shared" si="38"/>
        <v>0</v>
      </c>
      <c r="F58" s="167">
        <f t="shared" si="38"/>
        <v>0</v>
      </c>
      <c r="G58" s="167">
        <f t="shared" si="38"/>
        <v>0</v>
      </c>
      <c r="H58" s="167">
        <f t="shared" si="38"/>
        <v>0</v>
      </c>
      <c r="I58" s="167">
        <f t="shared" si="38"/>
        <v>0</v>
      </c>
      <c r="J58" s="99"/>
      <c r="K58" s="167">
        <f t="shared" ref="K58:Q58" si="39">K55-K56</f>
        <v>0</v>
      </c>
      <c r="L58" s="167">
        <f t="shared" si="39"/>
        <v>0</v>
      </c>
      <c r="M58" s="167">
        <f t="shared" si="39"/>
        <v>0</v>
      </c>
      <c r="N58" s="167">
        <f t="shared" si="39"/>
        <v>0</v>
      </c>
      <c r="O58" s="167">
        <f t="shared" si="39"/>
        <v>0</v>
      </c>
      <c r="P58" s="167">
        <f t="shared" si="39"/>
        <v>0</v>
      </c>
      <c r="Q58" s="167">
        <f t="shared" si="39"/>
        <v>0</v>
      </c>
    </row>
    <row r="59" spans="1:17">
      <c r="A59" s="165"/>
      <c r="B59" s="165"/>
      <c r="C59" s="167"/>
      <c r="D59" s="167"/>
      <c r="E59" s="167"/>
      <c r="F59" s="167"/>
      <c r="G59" s="167"/>
      <c r="H59" s="167"/>
      <c r="I59" s="167"/>
      <c r="J59" s="99"/>
      <c r="K59" s="167"/>
      <c r="L59" s="167"/>
      <c r="M59" s="167"/>
      <c r="N59" s="167"/>
      <c r="O59" s="167"/>
      <c r="P59" s="167"/>
      <c r="Q59" s="167"/>
    </row>
    <row r="60" spans="1:17">
      <c r="A60" s="338" t="s">
        <v>337</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78980</v>
      </c>
      <c r="D61" s="167">
        <f t="shared" ref="D61:I61" si="40">C64</f>
        <v>71082</v>
      </c>
      <c r="E61" s="167">
        <f t="shared" si="40"/>
        <v>63184</v>
      </c>
      <c r="F61" s="167">
        <f t="shared" si="40"/>
        <v>55286</v>
      </c>
      <c r="G61" s="167">
        <f t="shared" si="40"/>
        <v>47388</v>
      </c>
      <c r="H61" s="167">
        <f t="shared" si="40"/>
        <v>39490</v>
      </c>
      <c r="I61" s="167">
        <f t="shared" si="40"/>
        <v>31592</v>
      </c>
      <c r="J61" s="99"/>
      <c r="K61" s="167">
        <f>C61</f>
        <v>78980</v>
      </c>
      <c r="L61" s="167">
        <f t="shared" ref="L61:Q61" si="41">K64</f>
        <v>47388</v>
      </c>
      <c r="M61" s="167">
        <f t="shared" si="41"/>
        <v>28432.799999999999</v>
      </c>
      <c r="N61" s="167">
        <f t="shared" si="41"/>
        <v>17059.68</v>
      </c>
      <c r="O61" s="167">
        <f t="shared" si="41"/>
        <v>10235.808000000001</v>
      </c>
      <c r="P61" s="167">
        <f t="shared" si="41"/>
        <v>6141.4848000000002</v>
      </c>
      <c r="Q61" s="167">
        <f t="shared" si="41"/>
        <v>3684.8908799999999</v>
      </c>
    </row>
    <row r="62" spans="1:17">
      <c r="A62" s="165" t="str">
        <f>A56</f>
        <v>Depreciation</v>
      </c>
      <c r="B62" s="165"/>
      <c r="C62" s="167">
        <f t="shared" ref="C62:I62" si="42">$C$61*$B$76</f>
        <v>7898</v>
      </c>
      <c r="D62" s="167">
        <f t="shared" si="42"/>
        <v>7898</v>
      </c>
      <c r="E62" s="167">
        <f t="shared" si="42"/>
        <v>7898</v>
      </c>
      <c r="F62" s="167">
        <f t="shared" si="42"/>
        <v>7898</v>
      </c>
      <c r="G62" s="167">
        <f t="shared" si="42"/>
        <v>7898</v>
      </c>
      <c r="H62" s="167">
        <f t="shared" si="42"/>
        <v>7898</v>
      </c>
      <c r="I62" s="167">
        <f t="shared" si="42"/>
        <v>7898</v>
      </c>
      <c r="J62" s="99"/>
      <c r="K62" s="167">
        <f t="shared" ref="K62:Q62" si="43">K61*$C$76</f>
        <v>31592</v>
      </c>
      <c r="L62" s="167">
        <f t="shared" si="43"/>
        <v>18955.2</v>
      </c>
      <c r="M62" s="167">
        <f t="shared" si="43"/>
        <v>11373.12</v>
      </c>
      <c r="N62" s="167">
        <f t="shared" si="43"/>
        <v>6823.8720000000003</v>
      </c>
      <c r="O62" s="167">
        <f t="shared" si="43"/>
        <v>4094.3232000000007</v>
      </c>
      <c r="P62" s="167">
        <f t="shared" si="43"/>
        <v>2456.5939200000003</v>
      </c>
      <c r="Q62" s="167">
        <f t="shared" si="43"/>
        <v>1473.9563520000002</v>
      </c>
    </row>
    <row r="63" spans="1:17">
      <c r="A63" s="165" t="str">
        <f>A57</f>
        <v>Accumulated Depreciation</v>
      </c>
      <c r="B63" s="165"/>
      <c r="C63" s="167">
        <f>C62</f>
        <v>7898</v>
      </c>
      <c r="D63" s="167">
        <f t="shared" ref="D63:I63" si="44">D62+C63</f>
        <v>15796</v>
      </c>
      <c r="E63" s="167">
        <f t="shared" si="44"/>
        <v>23694</v>
      </c>
      <c r="F63" s="167">
        <f t="shared" si="44"/>
        <v>31592</v>
      </c>
      <c r="G63" s="167">
        <f t="shared" si="44"/>
        <v>39490</v>
      </c>
      <c r="H63" s="167">
        <f t="shared" si="44"/>
        <v>47388</v>
      </c>
      <c r="I63" s="167">
        <f t="shared" si="44"/>
        <v>55286</v>
      </c>
      <c r="J63" s="99"/>
      <c r="K63" s="167">
        <f>K62</f>
        <v>31592</v>
      </c>
      <c r="L63" s="167">
        <f t="shared" ref="L63:Q63" si="45">L62+K63</f>
        <v>50547.199999999997</v>
      </c>
      <c r="M63" s="167">
        <f t="shared" si="45"/>
        <v>61920.32</v>
      </c>
      <c r="N63" s="167">
        <f t="shared" si="45"/>
        <v>68744.191999999995</v>
      </c>
      <c r="O63" s="167">
        <f t="shared" si="45"/>
        <v>72838.515199999994</v>
      </c>
      <c r="P63" s="167">
        <f t="shared" si="45"/>
        <v>75295.109119999994</v>
      </c>
      <c r="Q63" s="167">
        <f t="shared" si="45"/>
        <v>76769.065471999987</v>
      </c>
    </row>
    <row r="64" spans="1:17">
      <c r="A64" s="165" t="str">
        <f>A58</f>
        <v>Net Fixed Assets</v>
      </c>
      <c r="B64" s="165"/>
      <c r="C64" s="167">
        <f t="shared" ref="C64:I64" si="46">C61-C62</f>
        <v>71082</v>
      </c>
      <c r="D64" s="167">
        <f t="shared" si="46"/>
        <v>63184</v>
      </c>
      <c r="E64" s="167">
        <f t="shared" si="46"/>
        <v>55286</v>
      </c>
      <c r="F64" s="167">
        <f t="shared" si="46"/>
        <v>47388</v>
      </c>
      <c r="G64" s="167">
        <f t="shared" si="46"/>
        <v>39490</v>
      </c>
      <c r="H64" s="167">
        <f t="shared" si="46"/>
        <v>31592</v>
      </c>
      <c r="I64" s="167">
        <f t="shared" si="46"/>
        <v>23694</v>
      </c>
      <c r="J64" s="99"/>
      <c r="K64" s="167">
        <f t="shared" ref="K64:Q64" si="47">K61-K62</f>
        <v>47388</v>
      </c>
      <c r="L64" s="167">
        <f t="shared" si="47"/>
        <v>28432.799999999999</v>
      </c>
      <c r="M64" s="167">
        <f t="shared" si="47"/>
        <v>17059.68</v>
      </c>
      <c r="N64" s="167">
        <f t="shared" si="47"/>
        <v>10235.808000000001</v>
      </c>
      <c r="O64" s="167">
        <f t="shared" si="47"/>
        <v>6141.4848000000002</v>
      </c>
      <c r="P64" s="167">
        <f t="shared" si="47"/>
        <v>3684.8908799999999</v>
      </c>
      <c r="Q64" s="167">
        <f t="shared" si="47"/>
        <v>2210.9345279999998</v>
      </c>
    </row>
    <row r="65" spans="1:17">
      <c r="A65" s="166" t="s">
        <v>206</v>
      </c>
      <c r="B65" s="166"/>
      <c r="C65" s="168">
        <f t="shared" ref="C65:I68" si="48">C49+C43+C37+C55+C61</f>
        <v>15603411</v>
      </c>
      <c r="D65" s="168">
        <f t="shared" si="48"/>
        <v>14754571.142099999</v>
      </c>
      <c r="E65" s="168">
        <f t="shared" si="48"/>
        <v>13905731.284200002</v>
      </c>
      <c r="F65" s="168">
        <f t="shared" si="48"/>
        <v>13056891.4263</v>
      </c>
      <c r="G65" s="168">
        <f t="shared" si="48"/>
        <v>12208051.568399999</v>
      </c>
      <c r="H65" s="168">
        <f t="shared" si="48"/>
        <v>11359211.7105</v>
      </c>
      <c r="I65" s="168">
        <f t="shared" si="48"/>
        <v>10510371.852600001</v>
      </c>
      <c r="J65" s="99"/>
      <c r="K65" s="168">
        <f t="shared" ref="K65:Q68" si="49">K49+K43+K37+K55+K61</f>
        <v>15603411</v>
      </c>
      <c r="L65" s="168">
        <f t="shared" si="49"/>
        <v>13538177.75</v>
      </c>
      <c r="M65" s="168">
        <f t="shared" si="49"/>
        <v>11761125.147500001</v>
      </c>
      <c r="N65" s="168">
        <f t="shared" si="49"/>
        <v>10228817.129375</v>
      </c>
      <c r="O65" s="168">
        <f t="shared" si="49"/>
        <v>8905301.6985687502</v>
      </c>
      <c r="P65" s="168">
        <f t="shared" si="49"/>
        <v>7760512.3445234373</v>
      </c>
      <c r="Q65" s="168">
        <f t="shared" si="49"/>
        <v>6769108.4891109224</v>
      </c>
    </row>
    <row r="66" spans="1:17">
      <c r="A66" s="166" t="s">
        <v>207</v>
      </c>
      <c r="B66" s="166"/>
      <c r="C66" s="168">
        <f t="shared" si="48"/>
        <v>848839.85789999994</v>
      </c>
      <c r="D66" s="168">
        <f t="shared" si="48"/>
        <v>848839.85789999994</v>
      </c>
      <c r="E66" s="168">
        <f t="shared" si="48"/>
        <v>848839.85789999994</v>
      </c>
      <c r="F66" s="168">
        <f t="shared" si="48"/>
        <v>848839.85789999994</v>
      </c>
      <c r="G66" s="168">
        <f t="shared" si="48"/>
        <v>848839.85789999994</v>
      </c>
      <c r="H66" s="168">
        <f t="shared" si="48"/>
        <v>848839.85789999994</v>
      </c>
      <c r="I66" s="168">
        <f t="shared" si="48"/>
        <v>848839.85789999994</v>
      </c>
      <c r="J66" s="99"/>
      <c r="K66" s="168">
        <f t="shared" si="49"/>
        <v>2065233.25</v>
      </c>
      <c r="L66" s="168">
        <f t="shared" si="49"/>
        <v>1777052.6024999998</v>
      </c>
      <c r="M66" s="168">
        <f t="shared" si="49"/>
        <v>1532308.0181250002</v>
      </c>
      <c r="N66" s="168">
        <f t="shared" si="49"/>
        <v>1323515.4308062498</v>
      </c>
      <c r="O66" s="168">
        <f t="shared" si="49"/>
        <v>1144789.3540453124</v>
      </c>
      <c r="P66" s="168">
        <f t="shared" si="49"/>
        <v>991403.8554125157</v>
      </c>
      <c r="Q66" s="168">
        <f t="shared" si="49"/>
        <v>859499.96536723827</v>
      </c>
    </row>
    <row r="67" spans="1:17">
      <c r="A67" s="166" t="s">
        <v>208</v>
      </c>
      <c r="B67" s="166"/>
      <c r="C67" s="168">
        <f t="shared" si="48"/>
        <v>848839.85789999994</v>
      </c>
      <c r="D67" s="168">
        <f t="shared" si="48"/>
        <v>1697679.7157999999</v>
      </c>
      <c r="E67" s="168">
        <f t="shared" si="48"/>
        <v>2546519.5737000001</v>
      </c>
      <c r="F67" s="168">
        <f t="shared" si="48"/>
        <v>3395359.4315999998</v>
      </c>
      <c r="G67" s="168">
        <f t="shared" si="48"/>
        <v>4244199.2895</v>
      </c>
      <c r="H67" s="168">
        <f t="shared" si="48"/>
        <v>5093039.1474000001</v>
      </c>
      <c r="I67" s="168">
        <f t="shared" si="48"/>
        <v>5941879.0053000003</v>
      </c>
      <c r="J67" s="99"/>
      <c r="K67" s="168">
        <f t="shared" si="49"/>
        <v>2065233.25</v>
      </c>
      <c r="L67" s="168">
        <f t="shared" si="49"/>
        <v>3842285.8525</v>
      </c>
      <c r="M67" s="168">
        <f t="shared" si="49"/>
        <v>5374593.8706250004</v>
      </c>
      <c r="N67" s="168">
        <f t="shared" si="49"/>
        <v>6698109.3014312498</v>
      </c>
      <c r="O67" s="168">
        <f t="shared" si="49"/>
        <v>7842898.6554765627</v>
      </c>
      <c r="P67" s="168">
        <f t="shared" si="49"/>
        <v>8834302.5108890776</v>
      </c>
      <c r="Q67" s="168">
        <f t="shared" si="49"/>
        <v>9693802.4762563147</v>
      </c>
    </row>
    <row r="68" spans="1:17">
      <c r="A68" s="166" t="s">
        <v>202</v>
      </c>
      <c r="B68" s="166"/>
      <c r="C68" s="168">
        <f t="shared" si="48"/>
        <v>14754571.142099999</v>
      </c>
      <c r="D68" s="168">
        <f t="shared" si="48"/>
        <v>13905731.284200002</v>
      </c>
      <c r="E68" s="168">
        <f t="shared" si="48"/>
        <v>13056891.4263</v>
      </c>
      <c r="F68" s="168">
        <f t="shared" si="48"/>
        <v>12208051.568399999</v>
      </c>
      <c r="G68" s="168">
        <f t="shared" si="48"/>
        <v>11359211.7105</v>
      </c>
      <c r="H68" s="168">
        <f t="shared" si="48"/>
        <v>10510371.852600001</v>
      </c>
      <c r="I68" s="168">
        <f t="shared" si="48"/>
        <v>9661531.9946999997</v>
      </c>
      <c r="J68" s="99"/>
      <c r="K68" s="168">
        <f t="shared" si="49"/>
        <v>13538177.75</v>
      </c>
      <c r="L68" s="168">
        <f t="shared" si="49"/>
        <v>11761125.147500001</v>
      </c>
      <c r="M68" s="168">
        <f t="shared" si="49"/>
        <v>10228817.129375</v>
      </c>
      <c r="N68" s="168">
        <f t="shared" si="49"/>
        <v>8905301.6985687502</v>
      </c>
      <c r="O68" s="168">
        <f t="shared" si="49"/>
        <v>7760512.3445234373</v>
      </c>
      <c r="P68" s="168">
        <f t="shared" si="49"/>
        <v>6769108.4891109224</v>
      </c>
      <c r="Q68" s="168">
        <f t="shared" si="49"/>
        <v>5909608.5237436825</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9.25">
      <c r="A71" s="173" t="s">
        <v>209</v>
      </c>
      <c r="B71" s="174" t="s">
        <v>210</v>
      </c>
      <c r="C71" s="175" t="s">
        <v>211</v>
      </c>
      <c r="D71" s="94"/>
      <c r="E71" s="94"/>
      <c r="F71" s="94"/>
      <c r="G71" s="94"/>
      <c r="H71" s="94"/>
      <c r="I71" s="94"/>
      <c r="J71" s="94"/>
    </row>
    <row r="72" spans="1:17" ht="29.25">
      <c r="A72" s="176" t="s">
        <v>212</v>
      </c>
      <c r="B72" s="174" t="s">
        <v>213</v>
      </c>
      <c r="C72" s="175" t="s">
        <v>214</v>
      </c>
      <c r="D72" s="94"/>
      <c r="E72" s="94"/>
      <c r="F72" s="94"/>
      <c r="G72" s="94"/>
      <c r="H72" s="94"/>
      <c r="I72" s="94"/>
      <c r="J72" s="94"/>
    </row>
    <row r="73" spans="1:17">
      <c r="A73" s="176" t="s">
        <v>149</v>
      </c>
      <c r="B73" s="177">
        <v>0</v>
      </c>
      <c r="C73" s="177">
        <v>0</v>
      </c>
      <c r="D73" s="94"/>
      <c r="E73" s="94"/>
      <c r="F73" s="94"/>
      <c r="G73" s="94"/>
      <c r="H73" s="94"/>
      <c r="I73" s="94"/>
      <c r="J73" s="94"/>
    </row>
    <row r="74" spans="1:17">
      <c r="A74" s="178" t="s">
        <v>203</v>
      </c>
      <c r="B74" s="177">
        <v>3.1699999999999999E-2</v>
      </c>
      <c r="C74" s="177">
        <v>0.1</v>
      </c>
      <c r="D74" s="179"/>
      <c r="E74" s="94"/>
      <c r="F74" s="94"/>
      <c r="G74" s="94"/>
      <c r="H74" s="94"/>
      <c r="I74" s="94"/>
      <c r="J74" s="94"/>
    </row>
    <row r="75" spans="1:17">
      <c r="A75" s="178" t="s">
        <v>205</v>
      </c>
      <c r="B75" s="180">
        <v>0.1</v>
      </c>
      <c r="C75" s="177">
        <v>0.1</v>
      </c>
      <c r="D75" s="94"/>
      <c r="E75" s="94"/>
      <c r="F75" s="94"/>
      <c r="G75" s="94"/>
      <c r="H75" s="94"/>
      <c r="I75" s="94"/>
      <c r="J75" s="94"/>
    </row>
    <row r="76" spans="1:17">
      <c r="A76" s="94" t="s">
        <v>215</v>
      </c>
      <c r="B76" s="180">
        <v>0.1</v>
      </c>
      <c r="C76" s="180">
        <v>0.4</v>
      </c>
      <c r="D76" s="94"/>
      <c r="E76" s="94"/>
      <c r="F76" s="94"/>
      <c r="G76" s="94"/>
      <c r="H76" s="94"/>
      <c r="I76" s="94"/>
      <c r="J76" s="94"/>
    </row>
    <row r="77" spans="1:17">
      <c r="A77" s="94" t="s">
        <v>280</v>
      </c>
      <c r="B77" s="180">
        <v>0.1188</v>
      </c>
      <c r="C77" s="180">
        <v>0.15</v>
      </c>
      <c r="D77" s="94"/>
      <c r="E77" s="94"/>
      <c r="F77" s="94"/>
      <c r="G77" s="94"/>
      <c r="H77" s="94"/>
      <c r="I77" s="94"/>
      <c r="J77" s="94"/>
    </row>
    <row r="78" spans="1:17">
      <c r="A78" s="178" t="s">
        <v>216</v>
      </c>
      <c r="B78" s="180">
        <v>6.3299999999999995E-2</v>
      </c>
      <c r="C78" s="180">
        <v>0.15</v>
      </c>
      <c r="D78" s="94"/>
      <c r="E78" s="94"/>
      <c r="F78" s="94"/>
      <c r="G78" s="94"/>
      <c r="H78" s="94"/>
      <c r="I78" s="94"/>
      <c r="J78" s="94"/>
    </row>
    <row r="79" spans="1:17" ht="29.25">
      <c r="A79" s="176" t="s">
        <v>209</v>
      </c>
      <c r="B79" s="177"/>
      <c r="C79" s="181"/>
      <c r="D79" s="94"/>
      <c r="E79" s="94"/>
      <c r="F79" s="94"/>
      <c r="G79" s="94"/>
      <c r="H79" s="94"/>
      <c r="I79" s="94"/>
      <c r="J79" s="94"/>
    </row>
    <row r="80" spans="1:17">
      <c r="A80" s="178" t="s">
        <v>217</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8.75">
      <c r="A83" s="421" t="s">
        <v>572</v>
      </c>
      <c r="B83" s="421"/>
      <c r="C83" s="421"/>
      <c r="D83" s="421"/>
      <c r="E83" s="421"/>
      <c r="F83" s="421"/>
      <c r="G83" s="421"/>
      <c r="H83" s="421"/>
      <c r="I83" s="421"/>
      <c r="J83" s="421"/>
    </row>
    <row r="84" spans="1:12" s="65" customFormat="1">
      <c r="A84" s="35"/>
      <c r="B84" s="35"/>
    </row>
    <row r="85" spans="1:12" s="65" customFormat="1">
      <c r="A85" s="153" t="s">
        <v>0</v>
      </c>
      <c r="B85" s="154" t="s">
        <v>347</v>
      </c>
      <c r="C85" s="155" t="s">
        <v>2</v>
      </c>
      <c r="D85" s="155" t="s">
        <v>3</v>
      </c>
      <c r="E85" s="155" t="s">
        <v>4</v>
      </c>
      <c r="F85" s="155" t="s">
        <v>5</v>
      </c>
      <c r="G85" s="155" t="s">
        <v>6</v>
      </c>
      <c r="H85" s="155" t="s">
        <v>171</v>
      </c>
      <c r="I85" s="155" t="s">
        <v>170</v>
      </c>
      <c r="J85" s="38"/>
      <c r="K85" s="38"/>
      <c r="L85" s="38"/>
    </row>
    <row r="86" spans="1:12" s="65" customFormat="1">
      <c r="A86" s="156" t="s">
        <v>258</v>
      </c>
      <c r="B86" s="157">
        <v>5</v>
      </c>
      <c r="C86" s="158">
        <f>'1.Project Cost and MOF'!$D$10/5</f>
        <v>10000</v>
      </c>
      <c r="D86" s="158">
        <f>'1.Project Cost and MOF'!$D$10/5</f>
        <v>10000</v>
      </c>
      <c r="E86" s="158">
        <f>'1.Project Cost and MOF'!$D$10/5</f>
        <v>10000</v>
      </c>
      <c r="F86" s="158">
        <f>'1.Project Cost and MOF'!$D$10/5</f>
        <v>10000</v>
      </c>
      <c r="G86" s="158">
        <f>'1.Project Cost and MOF'!$D$10/5</f>
        <v>10000</v>
      </c>
      <c r="H86" s="158">
        <v>0</v>
      </c>
      <c r="I86" s="158">
        <v>0</v>
      </c>
      <c r="J86" s="38"/>
      <c r="K86" s="38"/>
      <c r="L86" s="38"/>
    </row>
    <row r="87" spans="1:12" s="65" customFormat="1">
      <c r="A87" s="159" t="s">
        <v>348</v>
      </c>
      <c r="B87" s="160"/>
      <c r="C87" s="161">
        <f t="shared" ref="C87:I87" si="50">SUM(C85:C86)</f>
        <v>10000</v>
      </c>
      <c r="D87" s="161">
        <f t="shared" si="50"/>
        <v>10000</v>
      </c>
      <c r="E87" s="161">
        <f t="shared" si="50"/>
        <v>10000</v>
      </c>
      <c r="F87" s="161">
        <f t="shared" si="50"/>
        <v>10000</v>
      </c>
      <c r="G87" s="161">
        <f t="shared" si="50"/>
        <v>10000</v>
      </c>
      <c r="H87" s="161">
        <f t="shared" si="50"/>
        <v>0</v>
      </c>
      <c r="I87" s="161">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34" t="s">
        <v>573</v>
      </c>
      <c r="B92" s="434"/>
      <c r="C92" s="434"/>
      <c r="D92" s="434"/>
      <c r="E92" s="434"/>
      <c r="F92" s="434"/>
      <c r="G92" s="434"/>
      <c r="H92" s="434"/>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171</v>
      </c>
      <c r="H94" s="120" t="s">
        <v>170</v>
      </c>
      <c r="I94" s="28"/>
      <c r="J94" s="28"/>
      <c r="K94" s="28"/>
    </row>
    <row r="95" spans="1:12">
      <c r="A95" s="88" t="s">
        <v>230</v>
      </c>
      <c r="B95" s="151">
        <f>'6.Cons Profit &amp; Loss'!B49</f>
        <v>1493516.3488354811</v>
      </c>
      <c r="C95" s="151">
        <f>'6.Cons Profit &amp; Loss'!C49</f>
        <v>2288811.307848854</v>
      </c>
      <c r="D95" s="151">
        <f>'6.Cons Profit &amp; Loss'!D49</f>
        <v>3059177.4412266463</v>
      </c>
      <c r="E95" s="151">
        <f>'6.Cons Profit &amp; Loss'!E49</f>
        <v>3911297.4184763897</v>
      </c>
      <c r="F95" s="151">
        <f>'6.Cons Profit &amp; Loss'!F49</f>
        <v>4842691.0695684906</v>
      </c>
      <c r="G95" s="151">
        <f>'6.Cons Profit &amp; Loss'!G49</f>
        <v>5871678.8323237253</v>
      </c>
      <c r="H95" s="151">
        <f>'6.Cons Profit &amp; Loss'!H49</f>
        <v>6985766.6274229456</v>
      </c>
      <c r="I95" s="37"/>
      <c r="J95" s="37"/>
      <c r="K95" s="37"/>
    </row>
    <row r="96" spans="1:12">
      <c r="A96" s="88" t="s">
        <v>231</v>
      </c>
      <c r="B96" s="151">
        <f>'6.Cons Profit &amp; Loss'!B42</f>
        <v>848839.85789999994</v>
      </c>
      <c r="C96" s="151">
        <f>'6.Cons Profit &amp; Loss'!C42</f>
        <v>848839.85789999994</v>
      </c>
      <c r="D96" s="151">
        <f>'6.Cons Profit &amp; Loss'!D42</f>
        <v>848839.85789999994</v>
      </c>
      <c r="E96" s="151">
        <f>'6.Cons Profit &amp; Loss'!E42</f>
        <v>848839.85789999994</v>
      </c>
      <c r="F96" s="151">
        <f>'6.Cons Profit &amp; Loss'!F42</f>
        <v>848839.85789999994</v>
      </c>
      <c r="G96" s="151">
        <f>'6.Cons Profit &amp; Loss'!G42</f>
        <v>848839.85789999994</v>
      </c>
      <c r="H96" s="151">
        <f>'6.Cons Profit &amp; Loss'!H42</f>
        <v>848839.85789999994</v>
      </c>
      <c r="I96" s="37"/>
      <c r="J96" s="37"/>
      <c r="K96" s="37"/>
    </row>
    <row r="97" spans="1:11">
      <c r="A97" s="88" t="s">
        <v>232</v>
      </c>
      <c r="B97" s="151">
        <f>'3.Other Exp &amp; Taxes'!K66</f>
        <v>2065233.25</v>
      </c>
      <c r="C97" s="151">
        <f>'3.Other Exp &amp; Taxes'!L66</f>
        <v>1777052.6024999998</v>
      </c>
      <c r="D97" s="151">
        <f>'3.Other Exp &amp; Taxes'!M66</f>
        <v>1532308.0181250002</v>
      </c>
      <c r="E97" s="151">
        <f>'3.Other Exp &amp; Taxes'!N66</f>
        <v>1323515.4308062498</v>
      </c>
      <c r="F97" s="151">
        <f>'3.Other Exp &amp; Taxes'!O66</f>
        <v>1144789.3540453124</v>
      </c>
      <c r="G97" s="151">
        <f>'3.Other Exp &amp; Taxes'!P66</f>
        <v>991403.8554125157</v>
      </c>
      <c r="H97" s="151">
        <f>'3.Other Exp &amp; Taxes'!Q66</f>
        <v>859499.96536723827</v>
      </c>
      <c r="I97" s="37"/>
      <c r="J97" s="37"/>
      <c r="K97" s="37"/>
    </row>
    <row r="98" spans="1:11">
      <c r="A98" s="88" t="s">
        <v>293</v>
      </c>
      <c r="B98" s="151">
        <f t="shared" ref="B98:H98" si="51">B95+B96-B97</f>
        <v>277122.95673548104</v>
      </c>
      <c r="C98" s="151">
        <f t="shared" si="51"/>
        <v>1360598.5632488544</v>
      </c>
      <c r="D98" s="151">
        <f t="shared" si="51"/>
        <v>2375709.2810016461</v>
      </c>
      <c r="E98" s="151">
        <f t="shared" si="51"/>
        <v>3436621.8455701401</v>
      </c>
      <c r="F98" s="151">
        <f t="shared" si="51"/>
        <v>4546741.5734231789</v>
      </c>
      <c r="G98" s="151">
        <f t="shared" si="51"/>
        <v>5729114.8348112097</v>
      </c>
      <c r="H98" s="151">
        <f t="shared" si="51"/>
        <v>6975106.5199557077</v>
      </c>
      <c r="I98" s="37"/>
      <c r="J98" s="37"/>
      <c r="K98" s="37"/>
    </row>
    <row r="99" spans="1:11">
      <c r="A99" s="90" t="s">
        <v>233</v>
      </c>
      <c r="B99" s="152">
        <f t="shared" ref="B99:H99" si="52">B98*$B$102</f>
        <v>72051.968751225068</v>
      </c>
      <c r="C99" s="152">
        <f t="shared" si="52"/>
        <v>353755.62644470215</v>
      </c>
      <c r="D99" s="152">
        <f t="shared" si="52"/>
        <v>617684.41306042799</v>
      </c>
      <c r="E99" s="152">
        <f t="shared" si="52"/>
        <v>893521.6798482365</v>
      </c>
      <c r="F99" s="152">
        <f t="shared" si="52"/>
        <v>1182152.8090900267</v>
      </c>
      <c r="G99" s="152">
        <f t="shared" si="52"/>
        <v>1489569.8570509146</v>
      </c>
      <c r="H99" s="152">
        <f t="shared" si="52"/>
        <v>1813527.6951884842</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404</v>
      </c>
      <c r="B102" s="286">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5" t="s">
        <v>435</v>
      </c>
      <c r="B104" s="435"/>
      <c r="C104" s="435"/>
      <c r="D104" s="435"/>
      <c r="E104" s="435"/>
      <c r="F104" s="435"/>
      <c r="G104" s="435"/>
      <c r="H104" s="435"/>
      <c r="I104" s="32"/>
      <c r="J104" s="32"/>
      <c r="K104" s="32"/>
    </row>
  </sheetData>
  <mergeCells count="8">
    <mergeCell ref="A83:J83"/>
    <mergeCell ref="A92:H92"/>
    <mergeCell ref="A104:H104"/>
    <mergeCell ref="A2:K2"/>
    <mergeCell ref="A28:O28"/>
    <mergeCell ref="C31:I31"/>
    <mergeCell ref="K31:Q31"/>
    <mergeCell ref="A29:Q29"/>
  </mergeCells>
  <printOptions horizontalCentered="1"/>
  <pageMargins left="0.511811023622047" right="0.31496062992126" top="0.74803149606299202" bottom="0.55118110236220497" header="0.31496062992126" footer="0.31496062992126"/>
  <pageSetup paperSize="9" scale="53" orientation="landscape" r:id="rId1"/>
  <rowBreaks count="2" manualBreakCount="2">
    <brk id="27" max="16" man="1"/>
    <brk id="81" max="16" man="1"/>
  </rowBreaks>
  <colBreaks count="1" manualBreakCount="1">
    <brk id="17"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33" zoomScale="80" zoomScaleSheetLayoutView="80" workbookViewId="0">
      <selection activeCell="F77" sqref="F7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9" t="s">
        <v>574</v>
      </c>
      <c r="B2" s="419"/>
      <c r="C2" s="419"/>
      <c r="D2" s="419"/>
      <c r="E2" s="419"/>
      <c r="F2" s="419"/>
      <c r="G2" s="439"/>
    </row>
    <row r="3" spans="1:7">
      <c r="B3" s="15"/>
      <c r="C3" s="15"/>
      <c r="D3" s="15"/>
      <c r="E3" s="15"/>
      <c r="F3" s="15"/>
      <c r="G3" s="15"/>
    </row>
    <row r="4" spans="1:7">
      <c r="A4" s="94"/>
      <c r="B4" s="94"/>
      <c r="C4" s="94" t="s">
        <v>476</v>
      </c>
      <c r="D4" s="112">
        <f>'1.Project Cost and MOF'!E20</f>
        <v>5461193.8499999996</v>
      </c>
      <c r="E4" s="94"/>
      <c r="F4" s="94"/>
      <c r="G4" s="94"/>
    </row>
    <row r="5" spans="1:7">
      <c r="A5" s="94"/>
      <c r="B5" s="94"/>
      <c r="C5" s="94" t="s">
        <v>477</v>
      </c>
      <c r="D5" s="280">
        <v>0.11</v>
      </c>
      <c r="E5" s="94"/>
      <c r="F5" s="94"/>
      <c r="G5" s="94"/>
    </row>
    <row r="6" spans="1:7">
      <c r="A6" s="94"/>
      <c r="B6" s="94"/>
      <c r="C6" s="94" t="s">
        <v>478</v>
      </c>
      <c r="D6" s="281">
        <v>3</v>
      </c>
      <c r="E6" s="94"/>
      <c r="F6" s="94"/>
      <c r="G6" s="94"/>
    </row>
    <row r="7" spans="1:7">
      <c r="A7" s="94"/>
      <c r="B7" s="94"/>
      <c r="C7" s="94" t="s">
        <v>479</v>
      </c>
      <c r="D7" s="281">
        <v>9</v>
      </c>
      <c r="E7" s="94"/>
      <c r="F7" s="94"/>
      <c r="G7" s="94"/>
    </row>
    <row r="8" spans="1:7">
      <c r="A8" s="94"/>
      <c r="B8" s="94"/>
      <c r="C8" s="94" t="s">
        <v>22</v>
      </c>
      <c r="D8" s="211">
        <f>PMT(D5/12,(D6-(D7/12))*12,-D4)</f>
        <v>229249.32041092135</v>
      </c>
      <c r="E8" s="211"/>
      <c r="F8" s="269"/>
      <c r="G8" s="94"/>
    </row>
    <row r="9" spans="1:7">
      <c r="A9" s="148" t="s">
        <v>294</v>
      </c>
      <c r="B9" s="212" t="s">
        <v>18</v>
      </c>
      <c r="C9" s="213" t="s">
        <v>19</v>
      </c>
      <c r="D9" s="213" t="s">
        <v>20</v>
      </c>
      <c r="E9" s="213" t="s">
        <v>21</v>
      </c>
      <c r="F9" s="213" t="s">
        <v>22</v>
      </c>
      <c r="G9" s="213" t="s">
        <v>23</v>
      </c>
    </row>
    <row r="10" spans="1:7">
      <c r="A10" s="95" t="s">
        <v>11</v>
      </c>
      <c r="B10" s="95" t="s">
        <v>52</v>
      </c>
      <c r="C10" s="96">
        <f>D4</f>
        <v>5461193.8499999996</v>
      </c>
      <c r="D10" s="96">
        <f t="shared" ref="D10:D41" si="0">C10*$D$5/12</f>
        <v>50060.943624999993</v>
      </c>
      <c r="E10" s="96">
        <f t="shared" ref="E10:E15" si="1">F10-D10</f>
        <v>0</v>
      </c>
      <c r="F10" s="96">
        <f>D10</f>
        <v>50060.943624999993</v>
      </c>
      <c r="G10" s="96">
        <f>C10-E10</f>
        <v>5461193.8499999996</v>
      </c>
    </row>
    <row r="11" spans="1:7">
      <c r="A11" s="95"/>
      <c r="B11" s="95" t="s">
        <v>53</v>
      </c>
      <c r="C11" s="96">
        <f>G10</f>
        <v>5461193.8499999996</v>
      </c>
      <c r="D11" s="96">
        <f t="shared" si="0"/>
        <v>50060.943624999993</v>
      </c>
      <c r="E11" s="96">
        <f t="shared" si="1"/>
        <v>0</v>
      </c>
      <c r="F11" s="96">
        <f t="shared" ref="F11:F15" si="2">D11</f>
        <v>50060.943624999993</v>
      </c>
      <c r="G11" s="96">
        <f t="shared" ref="G11:G74" si="3">C11-E11</f>
        <v>5461193.8499999996</v>
      </c>
    </row>
    <row r="12" spans="1:7">
      <c r="A12" s="95"/>
      <c r="B12" s="95" t="s">
        <v>54</v>
      </c>
      <c r="C12" s="96">
        <f t="shared" ref="C12:C75" si="4">G11</f>
        <v>5461193.8499999996</v>
      </c>
      <c r="D12" s="96">
        <f t="shared" si="0"/>
        <v>50060.943624999993</v>
      </c>
      <c r="E12" s="96">
        <f t="shared" si="1"/>
        <v>0</v>
      </c>
      <c r="F12" s="96">
        <f t="shared" si="2"/>
        <v>50060.943624999993</v>
      </c>
      <c r="G12" s="96">
        <f t="shared" si="3"/>
        <v>5461193.8499999996</v>
      </c>
    </row>
    <row r="13" spans="1:7">
      <c r="A13" s="95"/>
      <c r="B13" s="95" t="s">
        <v>55</v>
      </c>
      <c r="C13" s="96">
        <f t="shared" si="4"/>
        <v>5461193.8499999996</v>
      </c>
      <c r="D13" s="96">
        <f t="shared" si="0"/>
        <v>50060.943624999993</v>
      </c>
      <c r="E13" s="96">
        <f t="shared" si="1"/>
        <v>0</v>
      </c>
      <c r="F13" s="96">
        <f t="shared" si="2"/>
        <v>50060.943624999993</v>
      </c>
      <c r="G13" s="96">
        <f t="shared" si="3"/>
        <v>5461193.8499999996</v>
      </c>
    </row>
    <row r="14" spans="1:7">
      <c r="A14" s="95"/>
      <c r="B14" s="95" t="s">
        <v>56</v>
      </c>
      <c r="C14" s="96">
        <f t="shared" si="4"/>
        <v>5461193.8499999996</v>
      </c>
      <c r="D14" s="96">
        <f t="shared" si="0"/>
        <v>50060.943624999993</v>
      </c>
      <c r="E14" s="96">
        <f t="shared" si="1"/>
        <v>0</v>
      </c>
      <c r="F14" s="96">
        <f t="shared" si="2"/>
        <v>50060.943624999993</v>
      </c>
      <c r="G14" s="96">
        <f t="shared" si="3"/>
        <v>5461193.8499999996</v>
      </c>
    </row>
    <row r="15" spans="1:7">
      <c r="A15" s="95"/>
      <c r="B15" s="95" t="s">
        <v>57</v>
      </c>
      <c r="C15" s="96">
        <f t="shared" si="4"/>
        <v>5461193.8499999996</v>
      </c>
      <c r="D15" s="96">
        <f t="shared" si="0"/>
        <v>50060.943624999993</v>
      </c>
      <c r="E15" s="96">
        <f t="shared" si="1"/>
        <v>0</v>
      </c>
      <c r="F15" s="96">
        <f t="shared" si="2"/>
        <v>50060.943624999993</v>
      </c>
      <c r="G15" s="96">
        <f t="shared" si="3"/>
        <v>5461193.8499999996</v>
      </c>
    </row>
    <row r="16" spans="1:7">
      <c r="A16" s="95"/>
      <c r="B16" s="95" t="s">
        <v>58</v>
      </c>
      <c r="C16" s="96">
        <f t="shared" si="4"/>
        <v>5461193.8499999996</v>
      </c>
      <c r="D16" s="96">
        <f t="shared" si="0"/>
        <v>50060.943624999993</v>
      </c>
      <c r="E16" s="96">
        <f>F16-D16</f>
        <v>179188.37678592137</v>
      </c>
      <c r="F16" s="96">
        <f t="shared" ref="F16:F74" si="5">$D$8</f>
        <v>229249.32041092135</v>
      </c>
      <c r="G16" s="96">
        <f t="shared" si="3"/>
        <v>5282005.4732140787</v>
      </c>
    </row>
    <row r="17" spans="1:9">
      <c r="A17" s="95"/>
      <c r="B17" s="95" t="s">
        <v>59</v>
      </c>
      <c r="C17" s="96">
        <f t="shared" si="4"/>
        <v>5282005.4732140787</v>
      </c>
      <c r="D17" s="96">
        <f t="shared" si="0"/>
        <v>48418.383504462392</v>
      </c>
      <c r="E17" s="96">
        <f t="shared" ref="E17:E80" si="6">F17-D17</f>
        <v>180830.93690645896</v>
      </c>
      <c r="F17" s="96">
        <f t="shared" si="5"/>
        <v>229249.32041092135</v>
      </c>
      <c r="G17" s="96">
        <f t="shared" si="3"/>
        <v>5101174.5363076199</v>
      </c>
    </row>
    <row r="18" spans="1:9">
      <c r="A18" s="95"/>
      <c r="B18" s="95" t="s">
        <v>60</v>
      </c>
      <c r="C18" s="96">
        <f t="shared" si="4"/>
        <v>5101174.5363076199</v>
      </c>
      <c r="D18" s="96">
        <f t="shared" si="0"/>
        <v>46760.766582819844</v>
      </c>
      <c r="E18" s="96">
        <f t="shared" si="6"/>
        <v>182488.55382810152</v>
      </c>
      <c r="F18" s="96">
        <f t="shared" si="5"/>
        <v>229249.32041092135</v>
      </c>
      <c r="G18" s="96">
        <f t="shared" si="3"/>
        <v>4918685.9824795183</v>
      </c>
    </row>
    <row r="19" spans="1:9">
      <c r="A19" s="95"/>
      <c r="B19" s="95" t="s">
        <v>61</v>
      </c>
      <c r="C19" s="96">
        <f t="shared" si="4"/>
        <v>4918685.9824795183</v>
      </c>
      <c r="D19" s="96">
        <f t="shared" si="0"/>
        <v>45087.954839395585</v>
      </c>
      <c r="E19" s="96">
        <f t="shared" si="6"/>
        <v>184161.36557152576</v>
      </c>
      <c r="F19" s="96">
        <f t="shared" si="5"/>
        <v>229249.32041092135</v>
      </c>
      <c r="G19" s="96">
        <f t="shared" si="3"/>
        <v>4734524.6169079924</v>
      </c>
    </row>
    <row r="20" spans="1:9">
      <c r="A20" s="95"/>
      <c r="B20" s="95" t="s">
        <v>62</v>
      </c>
      <c r="C20" s="96">
        <f t="shared" si="4"/>
        <v>4734524.6169079924</v>
      </c>
      <c r="D20" s="96">
        <f t="shared" si="0"/>
        <v>43399.808988323268</v>
      </c>
      <c r="E20" s="96">
        <f t="shared" si="6"/>
        <v>185849.51142259809</v>
      </c>
      <c r="F20" s="96">
        <f t="shared" si="5"/>
        <v>229249.32041092135</v>
      </c>
      <c r="G20" s="96">
        <f t="shared" si="3"/>
        <v>4548675.1054853946</v>
      </c>
    </row>
    <row r="21" spans="1:9">
      <c r="A21" s="95"/>
      <c r="B21" s="95" t="s">
        <v>63</v>
      </c>
      <c r="C21" s="96">
        <f t="shared" si="4"/>
        <v>4548675.1054853946</v>
      </c>
      <c r="D21" s="96">
        <f t="shared" si="0"/>
        <v>41696.188466949454</v>
      </c>
      <c r="E21" s="96">
        <f t="shared" si="6"/>
        <v>187553.13194397191</v>
      </c>
      <c r="F21" s="96">
        <f t="shared" si="5"/>
        <v>229249.32041092135</v>
      </c>
      <c r="G21" s="96">
        <f t="shared" si="3"/>
        <v>4361121.9735414227</v>
      </c>
      <c r="H21" s="1"/>
      <c r="I21" s="1"/>
    </row>
    <row r="22" spans="1:9">
      <c r="A22" s="95" t="s">
        <v>12</v>
      </c>
      <c r="B22" s="95" t="s">
        <v>64</v>
      </c>
      <c r="C22" s="96">
        <f t="shared" si="4"/>
        <v>4361121.9735414227</v>
      </c>
      <c r="D22" s="96">
        <f t="shared" si="0"/>
        <v>39976.951424129707</v>
      </c>
      <c r="E22" s="96">
        <f t="shared" si="6"/>
        <v>189272.36898679164</v>
      </c>
      <c r="F22" s="96">
        <f t="shared" si="5"/>
        <v>229249.32041092135</v>
      </c>
      <c r="G22" s="96">
        <f t="shared" si="3"/>
        <v>4171849.6045546313</v>
      </c>
    </row>
    <row r="23" spans="1:9">
      <c r="A23" s="95"/>
      <c r="B23" s="95" t="s">
        <v>65</v>
      </c>
      <c r="C23" s="96">
        <f t="shared" si="4"/>
        <v>4171849.6045546313</v>
      </c>
      <c r="D23" s="96">
        <f t="shared" si="0"/>
        <v>38241.954708417456</v>
      </c>
      <c r="E23" s="96">
        <f t="shared" si="6"/>
        <v>191007.36570250388</v>
      </c>
      <c r="F23" s="96">
        <f t="shared" si="5"/>
        <v>229249.32041092135</v>
      </c>
      <c r="G23" s="96">
        <f t="shared" si="3"/>
        <v>3980842.2388521275</v>
      </c>
    </row>
    <row r="24" spans="1:9">
      <c r="A24" s="95"/>
      <c r="B24" s="95" t="s">
        <v>66</v>
      </c>
      <c r="C24" s="96">
        <f t="shared" si="4"/>
        <v>3980842.2388521275</v>
      </c>
      <c r="D24" s="96">
        <f t="shared" si="0"/>
        <v>36491.053856144506</v>
      </c>
      <c r="E24" s="96">
        <f t="shared" si="6"/>
        <v>192758.26655477684</v>
      </c>
      <c r="F24" s="96">
        <f t="shared" si="5"/>
        <v>229249.32041092135</v>
      </c>
      <c r="G24" s="96">
        <f t="shared" si="3"/>
        <v>3788083.9722973504</v>
      </c>
    </row>
    <row r="25" spans="1:9">
      <c r="A25" s="95"/>
      <c r="B25" s="95" t="s">
        <v>67</v>
      </c>
      <c r="C25" s="96">
        <f t="shared" si="4"/>
        <v>3788083.9722973504</v>
      </c>
      <c r="D25" s="96">
        <f t="shared" si="0"/>
        <v>34724.103079392378</v>
      </c>
      <c r="E25" s="96">
        <f t="shared" si="6"/>
        <v>194525.21733152898</v>
      </c>
      <c r="F25" s="96">
        <f t="shared" si="5"/>
        <v>229249.32041092135</v>
      </c>
      <c r="G25" s="96">
        <f t="shared" si="3"/>
        <v>3593558.7549658213</v>
      </c>
    </row>
    <row r="26" spans="1:9">
      <c r="A26" s="95"/>
      <c r="B26" s="95" t="s">
        <v>68</v>
      </c>
      <c r="C26" s="96">
        <f t="shared" si="4"/>
        <v>3593558.7549658213</v>
      </c>
      <c r="D26" s="96">
        <f t="shared" si="0"/>
        <v>32940.955253853361</v>
      </c>
      <c r="E26" s="96">
        <f t="shared" si="6"/>
        <v>196308.36515706801</v>
      </c>
      <c r="F26" s="96">
        <f t="shared" si="5"/>
        <v>229249.32041092135</v>
      </c>
      <c r="G26" s="96">
        <f t="shared" si="3"/>
        <v>3397250.3898087535</v>
      </c>
    </row>
    <row r="27" spans="1:9">
      <c r="A27" s="95"/>
      <c r="B27" s="95" t="s">
        <v>69</v>
      </c>
      <c r="C27" s="96">
        <f t="shared" si="4"/>
        <v>3397250.3898087535</v>
      </c>
      <c r="D27" s="96">
        <f t="shared" si="0"/>
        <v>31141.46190658024</v>
      </c>
      <c r="E27" s="96">
        <f t="shared" si="6"/>
        <v>198107.8585043411</v>
      </c>
      <c r="F27" s="96">
        <f t="shared" si="5"/>
        <v>229249.32041092135</v>
      </c>
      <c r="G27" s="96">
        <f t="shared" si="3"/>
        <v>3199142.5313044125</v>
      </c>
    </row>
    <row r="28" spans="1:9">
      <c r="A28" s="95"/>
      <c r="B28" s="95" t="s">
        <v>70</v>
      </c>
      <c r="C28" s="96">
        <f t="shared" si="4"/>
        <v>3199142.5313044125</v>
      </c>
      <c r="D28" s="96">
        <f t="shared" si="0"/>
        <v>29325.473203623784</v>
      </c>
      <c r="E28" s="96">
        <f t="shared" si="6"/>
        <v>199923.84720729757</v>
      </c>
      <c r="F28" s="96">
        <f t="shared" si="5"/>
        <v>229249.32041092135</v>
      </c>
      <c r="G28" s="96">
        <f t="shared" si="3"/>
        <v>2999218.684097115</v>
      </c>
    </row>
    <row r="29" spans="1:9">
      <c r="A29" s="95"/>
      <c r="B29" s="95" t="s">
        <v>71</v>
      </c>
      <c r="C29" s="96">
        <f t="shared" si="4"/>
        <v>2999218.684097115</v>
      </c>
      <c r="D29" s="96">
        <f t="shared" si="0"/>
        <v>27492.837937556887</v>
      </c>
      <c r="E29" s="96">
        <f t="shared" si="6"/>
        <v>201756.48247336448</v>
      </c>
      <c r="F29" s="96">
        <f t="shared" si="5"/>
        <v>229249.32041092135</v>
      </c>
      <c r="G29" s="96">
        <f t="shared" si="3"/>
        <v>2797462.2016237504</v>
      </c>
    </row>
    <row r="30" spans="1:9">
      <c r="A30" s="95"/>
      <c r="B30" s="95" t="s">
        <v>72</v>
      </c>
      <c r="C30" s="96">
        <f t="shared" si="4"/>
        <v>2797462.2016237504</v>
      </c>
      <c r="D30" s="96">
        <f t="shared" si="0"/>
        <v>25643.40351488438</v>
      </c>
      <c r="E30" s="96">
        <f t="shared" si="6"/>
        <v>203605.91689603697</v>
      </c>
      <c r="F30" s="96">
        <f t="shared" si="5"/>
        <v>229249.32041092135</v>
      </c>
      <c r="G30" s="96">
        <f t="shared" si="3"/>
        <v>2593856.2847277136</v>
      </c>
    </row>
    <row r="31" spans="1:9">
      <c r="A31" s="95"/>
      <c r="B31" s="95" t="s">
        <v>73</v>
      </c>
      <c r="C31" s="96">
        <f t="shared" si="4"/>
        <v>2593856.2847277136</v>
      </c>
      <c r="D31" s="96">
        <f t="shared" si="0"/>
        <v>23777.015943337374</v>
      </c>
      <c r="E31" s="96">
        <f t="shared" si="6"/>
        <v>205472.30446758398</v>
      </c>
      <c r="F31" s="96">
        <f t="shared" si="5"/>
        <v>229249.32041092135</v>
      </c>
      <c r="G31" s="96">
        <f t="shared" si="3"/>
        <v>2388383.9802601296</v>
      </c>
    </row>
    <row r="32" spans="1:9">
      <c r="A32" s="95"/>
      <c r="B32" s="95" t="s">
        <v>74</v>
      </c>
      <c r="C32" s="96">
        <f t="shared" si="4"/>
        <v>2388383.9802601296</v>
      </c>
      <c r="D32" s="96">
        <f t="shared" si="0"/>
        <v>21893.519819051187</v>
      </c>
      <c r="E32" s="96">
        <f t="shared" si="6"/>
        <v>207355.80059187015</v>
      </c>
      <c r="F32" s="96">
        <f t="shared" si="5"/>
        <v>229249.32041092135</v>
      </c>
      <c r="G32" s="96">
        <f t="shared" si="3"/>
        <v>2181028.1796682593</v>
      </c>
    </row>
    <row r="33" spans="1:9">
      <c r="A33" s="95"/>
      <c r="B33" s="95" t="s">
        <v>75</v>
      </c>
      <c r="C33" s="96">
        <f t="shared" si="4"/>
        <v>2181028.1796682593</v>
      </c>
      <c r="D33" s="96">
        <f t="shared" si="0"/>
        <v>19992.758313625713</v>
      </c>
      <c r="E33" s="96">
        <f t="shared" si="6"/>
        <v>209256.56209729565</v>
      </c>
      <c r="F33" s="96">
        <f t="shared" si="5"/>
        <v>229249.32041092135</v>
      </c>
      <c r="G33" s="96">
        <f t="shared" si="3"/>
        <v>1971771.6175709637</v>
      </c>
      <c r="H33" s="1"/>
      <c r="I33" s="1"/>
    </row>
    <row r="34" spans="1:9">
      <c r="A34" s="95" t="s">
        <v>13</v>
      </c>
      <c r="B34" s="95" t="s">
        <v>76</v>
      </c>
      <c r="C34" s="96">
        <f t="shared" si="4"/>
        <v>1971771.6175709637</v>
      </c>
      <c r="D34" s="96">
        <f t="shared" si="0"/>
        <v>18074.573161067168</v>
      </c>
      <c r="E34" s="96">
        <f t="shared" si="6"/>
        <v>211174.74724985418</v>
      </c>
      <c r="F34" s="96">
        <f t="shared" si="5"/>
        <v>229249.32041092135</v>
      </c>
      <c r="G34" s="96">
        <f t="shared" si="3"/>
        <v>1760596.8703211094</v>
      </c>
    </row>
    <row r="35" spans="1:9">
      <c r="A35" s="95"/>
      <c r="B35" s="95" t="s">
        <v>77</v>
      </c>
      <c r="C35" s="96">
        <f t="shared" si="4"/>
        <v>1760596.8703211094</v>
      </c>
      <c r="D35" s="96">
        <f t="shared" si="0"/>
        <v>16138.804644610171</v>
      </c>
      <c r="E35" s="96">
        <f t="shared" si="6"/>
        <v>213110.51576631117</v>
      </c>
      <c r="F35" s="96">
        <f t="shared" si="5"/>
        <v>229249.32041092135</v>
      </c>
      <c r="G35" s="96">
        <f t="shared" si="3"/>
        <v>1547486.3545547982</v>
      </c>
    </row>
    <row r="36" spans="1:9">
      <c r="A36" s="95"/>
      <c r="B36" s="95" t="s">
        <v>78</v>
      </c>
      <c r="C36" s="96">
        <f t="shared" si="4"/>
        <v>1547486.3545547982</v>
      </c>
      <c r="D36" s="96">
        <f t="shared" si="0"/>
        <v>14185.291583418984</v>
      </c>
      <c r="E36" s="96">
        <f t="shared" si="6"/>
        <v>215064.02882750236</v>
      </c>
      <c r="F36" s="96">
        <f t="shared" si="5"/>
        <v>229249.32041092135</v>
      </c>
      <c r="G36" s="96">
        <f t="shared" si="3"/>
        <v>1332422.3257272958</v>
      </c>
    </row>
    <row r="37" spans="1:9">
      <c r="A37" s="95"/>
      <c r="B37" s="95" t="s">
        <v>79</v>
      </c>
      <c r="C37" s="96">
        <f t="shared" si="4"/>
        <v>1332422.3257272958</v>
      </c>
      <c r="D37" s="96">
        <f t="shared" si="0"/>
        <v>12213.871319166879</v>
      </c>
      <c r="E37" s="96">
        <f t="shared" si="6"/>
        <v>217035.44909175448</v>
      </c>
      <c r="F37" s="96">
        <f t="shared" si="5"/>
        <v>229249.32041092135</v>
      </c>
      <c r="G37" s="96">
        <f t="shared" si="3"/>
        <v>1115386.8766355414</v>
      </c>
    </row>
    <row r="38" spans="1:9">
      <c r="A38" s="95"/>
      <c r="B38" s="95" t="s">
        <v>80</v>
      </c>
      <c r="C38" s="96">
        <f t="shared" si="4"/>
        <v>1115386.8766355414</v>
      </c>
      <c r="D38" s="96">
        <f t="shared" si="0"/>
        <v>10224.379702492462</v>
      </c>
      <c r="E38" s="96">
        <f t="shared" si="6"/>
        <v>219024.94070842888</v>
      </c>
      <c r="F38" s="96">
        <f t="shared" si="5"/>
        <v>229249.32041092135</v>
      </c>
      <c r="G38" s="96">
        <f t="shared" si="3"/>
        <v>896361.93592711259</v>
      </c>
    </row>
    <row r="39" spans="1:9">
      <c r="A39" s="95"/>
      <c r="B39" s="95" t="s">
        <v>81</v>
      </c>
      <c r="C39" s="96">
        <f t="shared" si="4"/>
        <v>896361.93592711259</v>
      </c>
      <c r="D39" s="96">
        <f t="shared" si="0"/>
        <v>8216.6510793318648</v>
      </c>
      <c r="E39" s="96">
        <f t="shared" si="6"/>
        <v>221032.66933158948</v>
      </c>
      <c r="F39" s="96">
        <f t="shared" si="5"/>
        <v>229249.32041092135</v>
      </c>
      <c r="G39" s="96">
        <f t="shared" si="3"/>
        <v>675329.26659552311</v>
      </c>
    </row>
    <row r="40" spans="1:9">
      <c r="A40" s="95"/>
      <c r="B40" s="95" t="s">
        <v>82</v>
      </c>
      <c r="C40" s="96">
        <f t="shared" si="4"/>
        <v>675329.26659552311</v>
      </c>
      <c r="D40" s="96">
        <f t="shared" si="0"/>
        <v>6190.5182771256286</v>
      </c>
      <c r="E40" s="96">
        <f t="shared" si="6"/>
        <v>223058.80213379572</v>
      </c>
      <c r="F40" s="96">
        <f t="shared" si="5"/>
        <v>229249.32041092135</v>
      </c>
      <c r="G40" s="96">
        <f t="shared" si="3"/>
        <v>452270.46446172742</v>
      </c>
    </row>
    <row r="41" spans="1:9">
      <c r="A41" s="95"/>
      <c r="B41" s="95" t="s">
        <v>83</v>
      </c>
      <c r="C41" s="96">
        <f t="shared" si="4"/>
        <v>452270.46446172742</v>
      </c>
      <c r="D41" s="96">
        <f t="shared" si="0"/>
        <v>4145.8125908991678</v>
      </c>
      <c r="E41" s="96">
        <f t="shared" si="6"/>
        <v>225103.50782002218</v>
      </c>
      <c r="F41" s="96">
        <f t="shared" si="5"/>
        <v>229249.32041092135</v>
      </c>
      <c r="G41" s="96">
        <f t="shared" si="3"/>
        <v>227166.95664170524</v>
      </c>
    </row>
    <row r="42" spans="1:9">
      <c r="A42" s="95"/>
      <c r="B42" s="95" t="s">
        <v>84</v>
      </c>
      <c r="C42" s="96">
        <f t="shared" si="4"/>
        <v>227166.95664170524</v>
      </c>
      <c r="D42" s="96">
        <f t="shared" ref="D42:D73" si="7">C42*$D$5/12</f>
        <v>2082.3637692156312</v>
      </c>
      <c r="E42" s="96">
        <f t="shared" si="6"/>
        <v>227166.95664170574</v>
      </c>
      <c r="F42" s="96">
        <f t="shared" si="5"/>
        <v>229249.32041092135</v>
      </c>
      <c r="G42" s="96">
        <f t="shared" si="3"/>
        <v>-4.9476511776447296E-10</v>
      </c>
    </row>
    <row r="43" spans="1:9">
      <c r="A43" s="95"/>
      <c r="B43" s="95" t="s">
        <v>85</v>
      </c>
      <c r="C43" s="96">
        <f t="shared" si="4"/>
        <v>-4.9476511776447296E-10</v>
      </c>
      <c r="D43" s="96">
        <f t="shared" si="7"/>
        <v>-4.5353469128410027E-12</v>
      </c>
      <c r="E43" s="96">
        <f t="shared" si="6"/>
        <v>229249.32041092135</v>
      </c>
      <c r="F43" s="96">
        <f t="shared" si="5"/>
        <v>229249.32041092135</v>
      </c>
      <c r="G43" s="96">
        <f t="shared" si="3"/>
        <v>-229249.32041092185</v>
      </c>
    </row>
    <row r="44" spans="1:9">
      <c r="A44" s="95"/>
      <c r="B44" s="95" t="s">
        <v>86</v>
      </c>
      <c r="C44" s="96">
        <f t="shared" si="4"/>
        <v>-229249.32041092185</v>
      </c>
      <c r="D44" s="96">
        <f t="shared" si="7"/>
        <v>-2101.4521037667837</v>
      </c>
      <c r="E44" s="96">
        <f t="shared" si="6"/>
        <v>231350.77251468814</v>
      </c>
      <c r="F44" s="96">
        <f t="shared" si="5"/>
        <v>229249.32041092135</v>
      </c>
      <c r="G44" s="96">
        <f t="shared" si="3"/>
        <v>-460600.09292561002</v>
      </c>
    </row>
    <row r="45" spans="1:9">
      <c r="A45" s="95"/>
      <c r="B45" s="95" t="s">
        <v>87</v>
      </c>
      <c r="C45" s="96">
        <f t="shared" si="4"/>
        <v>-460600.09292561002</v>
      </c>
      <c r="D45" s="96">
        <f t="shared" si="7"/>
        <v>-4222.1675184847581</v>
      </c>
      <c r="E45" s="96">
        <f t="shared" si="6"/>
        <v>233471.48792940611</v>
      </c>
      <c r="F45" s="96">
        <f t="shared" si="5"/>
        <v>229249.32041092135</v>
      </c>
      <c r="G45" s="96">
        <f t="shared" si="3"/>
        <v>-694071.58085501613</v>
      </c>
      <c r="H45" s="1"/>
      <c r="I45" s="1"/>
    </row>
    <row r="46" spans="1:9">
      <c r="A46" s="95" t="s">
        <v>14</v>
      </c>
      <c r="B46" s="95" t="s">
        <v>88</v>
      </c>
      <c r="C46" s="96">
        <f t="shared" si="4"/>
        <v>-694071.58085501613</v>
      </c>
      <c r="D46" s="96">
        <f t="shared" si="7"/>
        <v>-6362.3228245043147</v>
      </c>
      <c r="E46" s="96">
        <f t="shared" si="6"/>
        <v>235611.64323542567</v>
      </c>
      <c r="F46" s="96">
        <f t="shared" si="5"/>
        <v>229249.32041092135</v>
      </c>
      <c r="G46" s="96">
        <f t="shared" si="3"/>
        <v>-929683.22409044183</v>
      </c>
    </row>
    <row r="47" spans="1:9">
      <c r="A47" s="95"/>
      <c r="B47" s="95" t="s">
        <v>89</v>
      </c>
      <c r="C47" s="96">
        <f t="shared" si="4"/>
        <v>-929683.22409044183</v>
      </c>
      <c r="D47" s="96">
        <f t="shared" si="7"/>
        <v>-8522.0962208290493</v>
      </c>
      <c r="E47" s="96">
        <f t="shared" si="6"/>
        <v>237771.41663175041</v>
      </c>
      <c r="F47" s="96">
        <f t="shared" si="5"/>
        <v>229249.32041092135</v>
      </c>
      <c r="G47" s="96">
        <f t="shared" si="3"/>
        <v>-1167454.6407221924</v>
      </c>
    </row>
    <row r="48" spans="1:9">
      <c r="A48" s="95"/>
      <c r="B48" s="95" t="s">
        <v>90</v>
      </c>
      <c r="C48" s="96">
        <f t="shared" si="4"/>
        <v>-1167454.6407221924</v>
      </c>
      <c r="D48" s="96">
        <f t="shared" si="7"/>
        <v>-10701.667539953431</v>
      </c>
      <c r="E48" s="96">
        <f t="shared" si="6"/>
        <v>239950.98795087478</v>
      </c>
      <c r="F48" s="96">
        <f t="shared" si="5"/>
        <v>229249.32041092135</v>
      </c>
      <c r="G48" s="96">
        <f t="shared" si="3"/>
        <v>-1407405.6286730671</v>
      </c>
    </row>
    <row r="49" spans="1:9">
      <c r="A49" s="95"/>
      <c r="B49" s="95" t="s">
        <v>91</v>
      </c>
      <c r="C49" s="96">
        <f t="shared" si="4"/>
        <v>-1407405.6286730671</v>
      </c>
      <c r="D49" s="96">
        <f t="shared" si="7"/>
        <v>-12901.218262836448</v>
      </c>
      <c r="E49" s="96">
        <f t="shared" si="6"/>
        <v>242150.53867375781</v>
      </c>
      <c r="F49" s="96">
        <f t="shared" si="5"/>
        <v>229249.32041092135</v>
      </c>
      <c r="G49" s="96">
        <f t="shared" si="3"/>
        <v>-1649556.1673468249</v>
      </c>
    </row>
    <row r="50" spans="1:9">
      <c r="A50" s="95"/>
      <c r="B50" s="95" t="s">
        <v>92</v>
      </c>
      <c r="C50" s="96">
        <f t="shared" si="4"/>
        <v>-1649556.1673468249</v>
      </c>
      <c r="D50" s="96">
        <f t="shared" si="7"/>
        <v>-15120.931534012561</v>
      </c>
      <c r="E50" s="96">
        <f t="shared" si="6"/>
        <v>244370.2519449339</v>
      </c>
      <c r="F50" s="96">
        <f t="shared" si="5"/>
        <v>229249.32041092135</v>
      </c>
      <c r="G50" s="96">
        <f t="shared" si="3"/>
        <v>-1893926.4192917589</v>
      </c>
    </row>
    <row r="51" spans="1:9">
      <c r="A51" s="95"/>
      <c r="B51" s="95" t="s">
        <v>93</v>
      </c>
      <c r="C51" s="96">
        <f t="shared" si="4"/>
        <v>-1893926.4192917589</v>
      </c>
      <c r="D51" s="96">
        <f t="shared" si="7"/>
        <v>-17360.992176841122</v>
      </c>
      <c r="E51" s="96">
        <f t="shared" si="6"/>
        <v>246610.31258776248</v>
      </c>
      <c r="F51" s="96">
        <f t="shared" si="5"/>
        <v>229249.32041092135</v>
      </c>
      <c r="G51" s="96">
        <f t="shared" si="3"/>
        <v>-2140536.7318795212</v>
      </c>
    </row>
    <row r="52" spans="1:9">
      <c r="A52" s="95"/>
      <c r="B52" s="95" t="s">
        <v>94</v>
      </c>
      <c r="C52" s="96">
        <f t="shared" si="4"/>
        <v>-2140536.7318795212</v>
      </c>
      <c r="D52" s="96">
        <f t="shared" si="7"/>
        <v>-19621.586708895611</v>
      </c>
      <c r="E52" s="96">
        <f t="shared" si="6"/>
        <v>248870.90711981695</v>
      </c>
      <c r="F52" s="96">
        <f t="shared" si="5"/>
        <v>229249.32041092135</v>
      </c>
      <c r="G52" s="96">
        <f t="shared" si="3"/>
        <v>-2389407.6389993383</v>
      </c>
    </row>
    <row r="53" spans="1:9">
      <c r="A53" s="95"/>
      <c r="B53" s="95" t="s">
        <v>95</v>
      </c>
      <c r="C53" s="96">
        <f t="shared" si="4"/>
        <v>-2389407.6389993383</v>
      </c>
      <c r="D53" s="96">
        <f t="shared" si="7"/>
        <v>-21902.903357493935</v>
      </c>
      <c r="E53" s="96">
        <f t="shared" si="6"/>
        <v>251152.22376841528</v>
      </c>
      <c r="F53" s="96">
        <f t="shared" si="5"/>
        <v>229249.32041092135</v>
      </c>
      <c r="G53" s="96">
        <f t="shared" si="3"/>
        <v>-2640559.8627677537</v>
      </c>
    </row>
    <row r="54" spans="1:9">
      <c r="A54" s="95"/>
      <c r="B54" s="95" t="s">
        <v>96</v>
      </c>
      <c r="C54" s="96">
        <f t="shared" si="4"/>
        <v>-2640559.8627677537</v>
      </c>
      <c r="D54" s="96">
        <f t="shared" si="7"/>
        <v>-24205.132075371075</v>
      </c>
      <c r="E54" s="96">
        <f t="shared" si="6"/>
        <v>253454.45248629243</v>
      </c>
      <c r="F54" s="96">
        <f t="shared" si="5"/>
        <v>229249.32041092135</v>
      </c>
      <c r="G54" s="96">
        <f t="shared" si="3"/>
        <v>-2894014.3152540461</v>
      </c>
    </row>
    <row r="55" spans="1:9">
      <c r="A55" s="95"/>
      <c r="B55" s="95" t="s">
        <v>97</v>
      </c>
      <c r="C55" s="96">
        <f t="shared" si="4"/>
        <v>-2894014.3152540461</v>
      </c>
      <c r="D55" s="96">
        <f t="shared" si="7"/>
        <v>-26528.464556495423</v>
      </c>
      <c r="E55" s="96">
        <f t="shared" si="6"/>
        <v>255777.78496741678</v>
      </c>
      <c r="F55" s="96">
        <f t="shared" si="5"/>
        <v>229249.32041092135</v>
      </c>
      <c r="G55" s="96">
        <f t="shared" si="3"/>
        <v>-3149792.100221463</v>
      </c>
    </row>
    <row r="56" spans="1:9">
      <c r="A56" s="95"/>
      <c r="B56" s="95" t="s">
        <v>98</v>
      </c>
      <c r="C56" s="96">
        <f t="shared" si="4"/>
        <v>-3149792.100221463</v>
      </c>
      <c r="D56" s="96">
        <f t="shared" si="7"/>
        <v>-28873.094252030078</v>
      </c>
      <c r="E56" s="96">
        <f t="shared" si="6"/>
        <v>258122.41466295143</v>
      </c>
      <c r="F56" s="96">
        <f t="shared" si="5"/>
        <v>229249.32041092135</v>
      </c>
      <c r="G56" s="96">
        <f t="shared" si="3"/>
        <v>-3407914.5148844146</v>
      </c>
    </row>
    <row r="57" spans="1:9">
      <c r="A57" s="95"/>
      <c r="B57" s="95" t="s">
        <v>99</v>
      </c>
      <c r="C57" s="96">
        <f t="shared" si="4"/>
        <v>-3407914.5148844146</v>
      </c>
      <c r="D57" s="96">
        <f t="shared" si="7"/>
        <v>-31239.216386440468</v>
      </c>
      <c r="E57" s="96">
        <f t="shared" si="6"/>
        <v>260488.53679736183</v>
      </c>
      <c r="F57" s="96">
        <f t="shared" si="5"/>
        <v>229249.32041092135</v>
      </c>
      <c r="G57" s="96">
        <f t="shared" si="3"/>
        <v>-3668403.0516817765</v>
      </c>
      <c r="H57" s="1"/>
      <c r="I57" s="1"/>
    </row>
    <row r="58" spans="1:9">
      <c r="A58" s="95" t="s">
        <v>15</v>
      </c>
      <c r="B58" s="95" t="s">
        <v>100</v>
      </c>
      <c r="C58" s="96">
        <f t="shared" si="4"/>
        <v>-3668403.0516817765</v>
      </c>
      <c r="D58" s="96">
        <f t="shared" si="7"/>
        <v>-33627.027973749617</v>
      </c>
      <c r="E58" s="96">
        <f t="shared" si="6"/>
        <v>262876.34838467097</v>
      </c>
      <c r="F58" s="96">
        <f t="shared" si="5"/>
        <v>229249.32041092135</v>
      </c>
      <c r="G58" s="96">
        <f t="shared" si="3"/>
        <v>-3931279.4000664474</v>
      </c>
    </row>
    <row r="59" spans="1:9">
      <c r="A59" s="95"/>
      <c r="B59" s="95" t="s">
        <v>101</v>
      </c>
      <c r="C59" s="96">
        <f t="shared" si="4"/>
        <v>-3931279.4000664474</v>
      </c>
      <c r="D59" s="96">
        <f t="shared" si="7"/>
        <v>-36036.727833942437</v>
      </c>
      <c r="E59" s="96">
        <f t="shared" si="6"/>
        <v>265286.04824486381</v>
      </c>
      <c r="F59" s="96">
        <f t="shared" si="5"/>
        <v>229249.32041092135</v>
      </c>
      <c r="G59" s="96">
        <f t="shared" si="3"/>
        <v>-4196565.4483113112</v>
      </c>
    </row>
    <row r="60" spans="1:9">
      <c r="A60" s="95"/>
      <c r="B60" s="95" t="s">
        <v>102</v>
      </c>
      <c r="C60" s="96">
        <f t="shared" si="4"/>
        <v>-4196565.4483113112</v>
      </c>
      <c r="D60" s="96">
        <f t="shared" si="7"/>
        <v>-38468.516609520353</v>
      </c>
      <c r="E60" s="96">
        <f t="shared" si="6"/>
        <v>267717.83702044172</v>
      </c>
      <c r="F60" s="96">
        <f t="shared" si="5"/>
        <v>229249.32041092135</v>
      </c>
      <c r="G60" s="96">
        <f t="shared" si="3"/>
        <v>-4464283.2853317531</v>
      </c>
    </row>
    <row r="61" spans="1:9">
      <c r="A61" s="95"/>
      <c r="B61" s="95" t="s">
        <v>103</v>
      </c>
      <c r="C61" s="96">
        <f t="shared" si="4"/>
        <v>-4464283.2853317531</v>
      </c>
      <c r="D61" s="96">
        <f t="shared" si="7"/>
        <v>-40922.596782207736</v>
      </c>
      <c r="E61" s="96">
        <f t="shared" si="6"/>
        <v>270171.91719312908</v>
      </c>
      <c r="F61" s="96">
        <f t="shared" si="5"/>
        <v>229249.32041092135</v>
      </c>
      <c r="G61" s="96">
        <f t="shared" si="3"/>
        <v>-4734455.2025248818</v>
      </c>
    </row>
    <row r="62" spans="1:9">
      <c r="A62" s="95"/>
      <c r="B62" s="95" t="s">
        <v>104</v>
      </c>
      <c r="C62" s="96">
        <f t="shared" si="4"/>
        <v>-4734455.2025248818</v>
      </c>
      <c r="D62" s="96">
        <f t="shared" si="7"/>
        <v>-43399.172689811421</v>
      </c>
      <c r="E62" s="96">
        <f t="shared" si="6"/>
        <v>272648.4931007328</v>
      </c>
      <c r="F62" s="96">
        <f t="shared" si="5"/>
        <v>229249.32041092135</v>
      </c>
      <c r="G62" s="96">
        <f t="shared" si="3"/>
        <v>-5007103.6956256144</v>
      </c>
    </row>
    <row r="63" spans="1:9">
      <c r="A63" s="95"/>
      <c r="B63" s="95" t="s">
        <v>105</v>
      </c>
      <c r="C63" s="96">
        <f t="shared" si="4"/>
        <v>-5007103.6956256144</v>
      </c>
      <c r="D63" s="96">
        <f t="shared" si="7"/>
        <v>-45898.450543234794</v>
      </c>
      <c r="E63" s="96">
        <f t="shared" si="6"/>
        <v>275147.77095415618</v>
      </c>
      <c r="F63" s="96">
        <f t="shared" si="5"/>
        <v>229249.32041092135</v>
      </c>
      <c r="G63" s="96">
        <f t="shared" si="3"/>
        <v>-5282251.4665797707</v>
      </c>
    </row>
    <row r="64" spans="1:9">
      <c r="A64" s="95"/>
      <c r="B64" s="95" t="s">
        <v>106</v>
      </c>
      <c r="C64" s="96">
        <f t="shared" si="4"/>
        <v>-5282251.4665797707</v>
      </c>
      <c r="D64" s="96">
        <f t="shared" si="7"/>
        <v>-48420.638443647891</v>
      </c>
      <c r="E64" s="96">
        <f t="shared" si="6"/>
        <v>277669.95885456924</v>
      </c>
      <c r="F64" s="96">
        <f t="shared" si="5"/>
        <v>229249.32041092135</v>
      </c>
      <c r="G64" s="96">
        <f t="shared" si="3"/>
        <v>-5559921.4254343398</v>
      </c>
    </row>
    <row r="65" spans="1:9">
      <c r="A65" s="95"/>
      <c r="B65" s="95" t="s">
        <v>107</v>
      </c>
      <c r="C65" s="96">
        <f t="shared" si="4"/>
        <v>-5559921.4254343398</v>
      </c>
      <c r="D65" s="96">
        <f t="shared" si="7"/>
        <v>-50965.946399814777</v>
      </c>
      <c r="E65" s="96">
        <f t="shared" si="6"/>
        <v>280215.26681073615</v>
      </c>
      <c r="F65" s="96">
        <f t="shared" si="5"/>
        <v>229249.32041092135</v>
      </c>
      <c r="G65" s="96">
        <f t="shared" si="3"/>
        <v>-5840136.6922450755</v>
      </c>
    </row>
    <row r="66" spans="1:9">
      <c r="A66" s="95"/>
      <c r="B66" s="95" t="s">
        <v>108</v>
      </c>
      <c r="C66" s="96">
        <f t="shared" si="4"/>
        <v>-5840136.6922450755</v>
      </c>
      <c r="D66" s="96">
        <f t="shared" si="7"/>
        <v>-53534.586345579861</v>
      </c>
      <c r="E66" s="96">
        <f t="shared" si="6"/>
        <v>282783.90675650124</v>
      </c>
      <c r="F66" s="96">
        <f t="shared" si="5"/>
        <v>229249.32041092135</v>
      </c>
      <c r="G66" s="96">
        <f t="shared" si="3"/>
        <v>-6122920.5990015771</v>
      </c>
    </row>
    <row r="67" spans="1:9">
      <c r="A67" s="95"/>
      <c r="B67" s="95" t="s">
        <v>109</v>
      </c>
      <c r="C67" s="96">
        <f t="shared" si="4"/>
        <v>-6122920.5990015771</v>
      </c>
      <c r="D67" s="96">
        <f t="shared" si="7"/>
        <v>-56126.772157514461</v>
      </c>
      <c r="E67" s="96">
        <f t="shared" si="6"/>
        <v>285376.09256843582</v>
      </c>
      <c r="F67" s="96">
        <f t="shared" si="5"/>
        <v>229249.32041092135</v>
      </c>
      <c r="G67" s="96">
        <f t="shared" si="3"/>
        <v>-6408296.6915700128</v>
      </c>
    </row>
    <row r="68" spans="1:9">
      <c r="A68" s="95"/>
      <c r="B68" s="95" t="s">
        <v>110</v>
      </c>
      <c r="C68" s="96">
        <f t="shared" si="4"/>
        <v>-6408296.6915700128</v>
      </c>
      <c r="D68" s="96">
        <f t="shared" si="7"/>
        <v>-58742.719672725121</v>
      </c>
      <c r="E68" s="96">
        <f t="shared" si="6"/>
        <v>287992.04008364648</v>
      </c>
      <c r="F68" s="96">
        <f t="shared" si="5"/>
        <v>229249.32041092135</v>
      </c>
      <c r="G68" s="96">
        <f t="shared" si="3"/>
        <v>-6696288.7316536596</v>
      </c>
    </row>
    <row r="69" spans="1:9">
      <c r="A69" s="95"/>
      <c r="B69" s="95" t="s">
        <v>111</v>
      </c>
      <c r="C69" s="96">
        <f t="shared" si="4"/>
        <v>-6696288.7316536596</v>
      </c>
      <c r="D69" s="96">
        <f t="shared" si="7"/>
        <v>-61382.64670682521</v>
      </c>
      <c r="E69" s="96">
        <f t="shared" si="6"/>
        <v>290631.96711774659</v>
      </c>
      <c r="F69" s="96">
        <f t="shared" si="5"/>
        <v>229249.32041092135</v>
      </c>
      <c r="G69" s="96">
        <f t="shared" si="3"/>
        <v>-6986920.698771406</v>
      </c>
      <c r="H69" s="1"/>
      <c r="I69" s="1"/>
    </row>
    <row r="70" spans="1:9">
      <c r="A70" s="95" t="s">
        <v>16</v>
      </c>
      <c r="B70" s="95" t="s">
        <v>112</v>
      </c>
      <c r="C70" s="96">
        <f t="shared" si="4"/>
        <v>-6986920.698771406</v>
      </c>
      <c r="D70" s="96">
        <f t="shared" si="7"/>
        <v>-64046.773072071221</v>
      </c>
      <c r="E70" s="96">
        <f t="shared" si="6"/>
        <v>293296.09348299255</v>
      </c>
      <c r="F70" s="96">
        <f t="shared" si="5"/>
        <v>229249.32041092135</v>
      </c>
      <c r="G70" s="96">
        <f t="shared" si="3"/>
        <v>-7280216.7922543986</v>
      </c>
    </row>
    <row r="71" spans="1:9">
      <c r="A71" s="95"/>
      <c r="B71" s="95" t="s">
        <v>113</v>
      </c>
      <c r="C71" s="96">
        <f t="shared" si="4"/>
        <v>-7280216.7922543986</v>
      </c>
      <c r="D71" s="96">
        <f t="shared" si="7"/>
        <v>-66735.320595665326</v>
      </c>
      <c r="E71" s="96">
        <f t="shared" si="6"/>
        <v>295984.64100658667</v>
      </c>
      <c r="F71" s="96">
        <f t="shared" si="5"/>
        <v>229249.32041092135</v>
      </c>
      <c r="G71" s="96">
        <f t="shared" si="3"/>
        <v>-7576201.4332609857</v>
      </c>
    </row>
    <row r="72" spans="1:9">
      <c r="A72" s="95"/>
      <c r="B72" s="95" t="s">
        <v>114</v>
      </c>
      <c r="C72" s="96">
        <f t="shared" si="4"/>
        <v>-7576201.4332609857</v>
      </c>
      <c r="D72" s="96">
        <f t="shared" si="7"/>
        <v>-69448.513138225695</v>
      </c>
      <c r="E72" s="96">
        <f t="shared" si="6"/>
        <v>298697.83354914706</v>
      </c>
      <c r="F72" s="96">
        <f t="shared" si="5"/>
        <v>229249.32041092135</v>
      </c>
      <c r="G72" s="96">
        <f t="shared" si="3"/>
        <v>-7874899.2668101331</v>
      </c>
    </row>
    <row r="73" spans="1:9">
      <c r="A73" s="95"/>
      <c r="B73" s="95" t="s">
        <v>115</v>
      </c>
      <c r="C73" s="96">
        <f t="shared" si="4"/>
        <v>-7874899.2668101331</v>
      </c>
      <c r="D73" s="96">
        <f t="shared" si="7"/>
        <v>-72186.576612426215</v>
      </c>
      <c r="E73" s="96">
        <f t="shared" si="6"/>
        <v>301435.89702334756</v>
      </c>
      <c r="F73" s="96">
        <f t="shared" si="5"/>
        <v>229249.32041092135</v>
      </c>
      <c r="G73" s="96">
        <f t="shared" si="3"/>
        <v>-8176335.1638334803</v>
      </c>
    </row>
    <row r="74" spans="1:9">
      <c r="A74" s="95"/>
      <c r="B74" s="95" t="s">
        <v>116</v>
      </c>
      <c r="C74" s="96">
        <f t="shared" si="4"/>
        <v>-8176335.1638334803</v>
      </c>
      <c r="D74" s="96">
        <f t="shared" ref="D74:D93" si="8">C74*$D$5/12</f>
        <v>-74949.739001806898</v>
      </c>
      <c r="E74" s="96">
        <f t="shared" si="6"/>
        <v>304199.05941272824</v>
      </c>
      <c r="F74" s="96">
        <f t="shared" si="5"/>
        <v>229249.32041092135</v>
      </c>
      <c r="G74" s="96">
        <f t="shared" si="3"/>
        <v>-8480534.2232462093</v>
      </c>
    </row>
    <row r="75" spans="1:9">
      <c r="A75" s="95"/>
      <c r="B75" s="95" t="s">
        <v>117</v>
      </c>
      <c r="C75" s="96">
        <f t="shared" si="4"/>
        <v>-8480534.2232462093</v>
      </c>
      <c r="D75" s="96">
        <f t="shared" si="8"/>
        <v>-77738.230379756918</v>
      </c>
      <c r="E75" s="96">
        <f t="shared" si="6"/>
        <v>306987.55079067824</v>
      </c>
      <c r="F75" s="96">
        <f t="shared" ref="F75:F93" si="9">$D$8</f>
        <v>229249.32041092135</v>
      </c>
      <c r="G75" s="96">
        <f t="shared" ref="G75:G93" si="10">C75-E75</f>
        <v>-8787521.774036888</v>
      </c>
    </row>
    <row r="76" spans="1:9">
      <c r="A76" s="95"/>
      <c r="B76" s="95" t="s">
        <v>118</v>
      </c>
      <c r="C76" s="96">
        <f t="shared" ref="C76:C93" si="11">G75</f>
        <v>-8787521.774036888</v>
      </c>
      <c r="D76" s="96">
        <f t="shared" si="8"/>
        <v>-80552.28292867147</v>
      </c>
      <c r="E76" s="96">
        <f t="shared" si="6"/>
        <v>309801.60333959281</v>
      </c>
      <c r="F76" s="96">
        <f t="shared" si="9"/>
        <v>229249.32041092135</v>
      </c>
      <c r="G76" s="96">
        <f t="shared" si="10"/>
        <v>-9097323.37737648</v>
      </c>
    </row>
    <row r="77" spans="1:9">
      <c r="A77" s="95"/>
      <c r="B77" s="95" t="s">
        <v>119</v>
      </c>
      <c r="C77" s="96">
        <f t="shared" si="11"/>
        <v>-9097323.37737648</v>
      </c>
      <c r="D77" s="96">
        <f t="shared" si="8"/>
        <v>-83392.130959284405</v>
      </c>
      <c r="E77" s="96">
        <f t="shared" si="6"/>
        <v>312641.45137020573</v>
      </c>
      <c r="F77" s="96">
        <f t="shared" si="9"/>
        <v>229249.32041092135</v>
      </c>
      <c r="G77" s="96">
        <f t="shared" si="10"/>
        <v>-9409964.8287466858</v>
      </c>
    </row>
    <row r="78" spans="1:9">
      <c r="A78" s="95"/>
      <c r="B78" s="95" t="s">
        <v>120</v>
      </c>
      <c r="C78" s="96">
        <f t="shared" si="11"/>
        <v>-9409964.8287466858</v>
      </c>
      <c r="D78" s="96">
        <f t="shared" si="8"/>
        <v>-86258.010930177945</v>
      </c>
      <c r="E78" s="96">
        <f t="shared" si="6"/>
        <v>315507.33134109929</v>
      </c>
      <c r="F78" s="96">
        <f t="shared" si="9"/>
        <v>229249.32041092135</v>
      </c>
      <c r="G78" s="96">
        <f t="shared" si="10"/>
        <v>-9725472.1600877848</v>
      </c>
    </row>
    <row r="79" spans="1:9">
      <c r="A79" s="95"/>
      <c r="B79" s="95" t="s">
        <v>121</v>
      </c>
      <c r="C79" s="96">
        <f t="shared" si="11"/>
        <v>-9725472.1600877848</v>
      </c>
      <c r="D79" s="96">
        <f t="shared" si="8"/>
        <v>-89150.161467471349</v>
      </c>
      <c r="E79" s="96">
        <f t="shared" si="6"/>
        <v>318399.48187839269</v>
      </c>
      <c r="F79" s="96">
        <f t="shared" si="9"/>
        <v>229249.32041092135</v>
      </c>
      <c r="G79" s="96">
        <f t="shared" si="10"/>
        <v>-10043871.641966177</v>
      </c>
    </row>
    <row r="80" spans="1:9">
      <c r="A80" s="95"/>
      <c r="B80" s="95" t="s">
        <v>122</v>
      </c>
      <c r="C80" s="96">
        <f t="shared" si="11"/>
        <v>-10043871.641966177</v>
      </c>
      <c r="D80" s="96">
        <f t="shared" si="8"/>
        <v>-92068.823384689967</v>
      </c>
      <c r="E80" s="96">
        <f t="shared" si="6"/>
        <v>321318.14379561134</v>
      </c>
      <c r="F80" s="96">
        <f t="shared" si="9"/>
        <v>229249.32041092135</v>
      </c>
      <c r="G80" s="96">
        <f t="shared" si="10"/>
        <v>-10365189.785761788</v>
      </c>
    </row>
    <row r="81" spans="1:9">
      <c r="A81" s="95"/>
      <c r="B81" s="95" t="s">
        <v>123</v>
      </c>
      <c r="C81" s="96">
        <f t="shared" si="11"/>
        <v>-10365189.785761788</v>
      </c>
      <c r="D81" s="96">
        <f t="shared" si="8"/>
        <v>-95014.239702816398</v>
      </c>
      <c r="E81" s="96">
        <f t="shared" ref="E81:E93" si="12">F81-D81</f>
        <v>324263.56011373777</v>
      </c>
      <c r="F81" s="96">
        <f t="shared" si="9"/>
        <v>229249.32041092135</v>
      </c>
      <c r="G81" s="96">
        <f t="shared" si="10"/>
        <v>-10689453.345875526</v>
      </c>
      <c r="H81" s="1"/>
      <c r="I81" s="1"/>
    </row>
    <row r="82" spans="1:9">
      <c r="A82" s="95" t="s">
        <v>283</v>
      </c>
      <c r="B82" s="95" t="s">
        <v>218</v>
      </c>
      <c r="C82" s="96">
        <f t="shared" si="11"/>
        <v>-10689453.345875526</v>
      </c>
      <c r="D82" s="96">
        <f t="shared" si="8"/>
        <v>-97986.655670525666</v>
      </c>
      <c r="E82" s="96">
        <f t="shared" si="12"/>
        <v>327235.97608144704</v>
      </c>
      <c r="F82" s="96">
        <f t="shared" si="9"/>
        <v>229249.32041092135</v>
      </c>
      <c r="G82" s="96">
        <f t="shared" si="10"/>
        <v>-11016689.321956974</v>
      </c>
    </row>
    <row r="83" spans="1:9">
      <c r="A83" s="95"/>
      <c r="B83" s="95" t="s">
        <v>219</v>
      </c>
      <c r="C83" s="96">
        <f t="shared" si="11"/>
        <v>-11016689.321956974</v>
      </c>
      <c r="D83" s="96">
        <f t="shared" si="8"/>
        <v>-100986.3187846056</v>
      </c>
      <c r="E83" s="96">
        <f t="shared" si="12"/>
        <v>330235.63919552695</v>
      </c>
      <c r="F83" s="96">
        <f t="shared" si="9"/>
        <v>229249.32041092135</v>
      </c>
      <c r="G83" s="96">
        <f t="shared" si="10"/>
        <v>-11346924.961152501</v>
      </c>
    </row>
    <row r="84" spans="1:9">
      <c r="A84" s="95"/>
      <c r="B84" s="95" t="s">
        <v>220</v>
      </c>
      <c r="C84" s="96">
        <f t="shared" si="11"/>
        <v>-11346924.961152501</v>
      </c>
      <c r="D84" s="96">
        <f t="shared" si="8"/>
        <v>-104013.4788105646</v>
      </c>
      <c r="E84" s="96">
        <f t="shared" si="12"/>
        <v>333262.79922148597</v>
      </c>
      <c r="F84" s="96">
        <f t="shared" si="9"/>
        <v>229249.32041092135</v>
      </c>
      <c r="G84" s="96">
        <f t="shared" si="10"/>
        <v>-11680187.760373987</v>
      </c>
    </row>
    <row r="85" spans="1:9">
      <c r="A85" s="95"/>
      <c r="B85" s="95" t="s">
        <v>221</v>
      </c>
      <c r="C85" s="96">
        <f t="shared" si="11"/>
        <v>-11680187.760373987</v>
      </c>
      <c r="D85" s="96">
        <f t="shared" si="8"/>
        <v>-107068.38780342822</v>
      </c>
      <c r="E85" s="96">
        <f t="shared" si="12"/>
        <v>336317.70821434958</v>
      </c>
      <c r="F85" s="96">
        <f t="shared" si="9"/>
        <v>229249.32041092135</v>
      </c>
      <c r="G85" s="96">
        <f t="shared" si="10"/>
        <v>-12016505.468588337</v>
      </c>
    </row>
    <row r="86" spans="1:9">
      <c r="A86" s="95"/>
      <c r="B86" s="95" t="s">
        <v>222</v>
      </c>
      <c r="C86" s="96">
        <f t="shared" si="11"/>
        <v>-12016505.468588337</v>
      </c>
      <c r="D86" s="96">
        <f t="shared" si="8"/>
        <v>-110151.30012872642</v>
      </c>
      <c r="E86" s="96">
        <f t="shared" si="12"/>
        <v>339400.62053964776</v>
      </c>
      <c r="F86" s="96">
        <f t="shared" si="9"/>
        <v>229249.32041092135</v>
      </c>
      <c r="G86" s="96">
        <f t="shared" si="10"/>
        <v>-12355906.089127986</v>
      </c>
    </row>
    <row r="87" spans="1:9">
      <c r="A87" s="95"/>
      <c r="B87" s="95" t="s">
        <v>223</v>
      </c>
      <c r="C87" s="96">
        <f t="shared" si="11"/>
        <v>-12355906.089127986</v>
      </c>
      <c r="D87" s="96">
        <f t="shared" si="8"/>
        <v>-113262.47248367321</v>
      </c>
      <c r="E87" s="96">
        <f t="shared" si="12"/>
        <v>342511.79289459455</v>
      </c>
      <c r="F87" s="96">
        <f t="shared" si="9"/>
        <v>229249.32041092135</v>
      </c>
      <c r="G87" s="96">
        <f t="shared" si="10"/>
        <v>-12698417.88202258</v>
      </c>
    </row>
    <row r="88" spans="1:9">
      <c r="A88" s="95"/>
      <c r="B88" s="95" t="s">
        <v>224</v>
      </c>
      <c r="C88" s="96">
        <f t="shared" si="11"/>
        <v>-12698417.88202258</v>
      </c>
      <c r="D88" s="96">
        <f t="shared" si="8"/>
        <v>-116402.16391854033</v>
      </c>
      <c r="E88" s="96">
        <f t="shared" si="12"/>
        <v>345651.4843294617</v>
      </c>
      <c r="F88" s="96">
        <f t="shared" si="9"/>
        <v>229249.32041092135</v>
      </c>
      <c r="G88" s="96">
        <f t="shared" si="10"/>
        <v>-13044069.366352042</v>
      </c>
    </row>
    <row r="89" spans="1:9">
      <c r="A89" s="95"/>
      <c r="B89" s="95" t="s">
        <v>225</v>
      </c>
      <c r="C89" s="96">
        <f t="shared" si="11"/>
        <v>-13044069.366352042</v>
      </c>
      <c r="D89" s="96">
        <f t="shared" si="8"/>
        <v>-119570.63585822705</v>
      </c>
      <c r="E89" s="96">
        <f t="shared" si="12"/>
        <v>348819.95626914839</v>
      </c>
      <c r="F89" s="96">
        <f t="shared" si="9"/>
        <v>229249.32041092135</v>
      </c>
      <c r="G89" s="96">
        <f t="shared" si="10"/>
        <v>-13392889.322621191</v>
      </c>
    </row>
    <row r="90" spans="1:9">
      <c r="A90" s="95"/>
      <c r="B90" s="95" t="s">
        <v>226</v>
      </c>
      <c r="C90" s="96">
        <f t="shared" si="11"/>
        <v>-13392889.322621191</v>
      </c>
      <c r="D90" s="96">
        <f t="shared" si="8"/>
        <v>-122768.15212402759</v>
      </c>
      <c r="E90" s="96">
        <f t="shared" si="12"/>
        <v>352017.47253494896</v>
      </c>
      <c r="F90" s="96">
        <f t="shared" si="9"/>
        <v>229249.32041092135</v>
      </c>
      <c r="G90" s="96">
        <f t="shared" si="10"/>
        <v>-13744906.79515614</v>
      </c>
    </row>
    <row r="91" spans="1:9">
      <c r="A91" s="95"/>
      <c r="B91" s="95" t="s">
        <v>227</v>
      </c>
      <c r="C91" s="96">
        <f t="shared" si="11"/>
        <v>-13744906.79515614</v>
      </c>
      <c r="D91" s="96">
        <f t="shared" si="8"/>
        <v>-125994.97895559795</v>
      </c>
      <c r="E91" s="96">
        <f t="shared" si="12"/>
        <v>355244.29936651932</v>
      </c>
      <c r="F91" s="96">
        <f t="shared" si="9"/>
        <v>229249.32041092135</v>
      </c>
      <c r="G91" s="96">
        <f t="shared" si="10"/>
        <v>-14100151.094522659</v>
      </c>
    </row>
    <row r="92" spans="1:9">
      <c r="A92" s="95"/>
      <c r="B92" s="95" t="s">
        <v>228</v>
      </c>
      <c r="C92" s="96">
        <f t="shared" si="11"/>
        <v>-14100151.094522659</v>
      </c>
      <c r="D92" s="96">
        <f t="shared" si="8"/>
        <v>-129251.38503312437</v>
      </c>
      <c r="E92" s="96">
        <f t="shared" si="12"/>
        <v>358500.70544404571</v>
      </c>
      <c r="F92" s="96">
        <f t="shared" si="9"/>
        <v>229249.32041092135</v>
      </c>
      <c r="G92" s="96">
        <f t="shared" si="10"/>
        <v>-14458651.799966704</v>
      </c>
    </row>
    <row r="93" spans="1:9">
      <c r="A93" s="95"/>
      <c r="B93" s="95" t="s">
        <v>229</v>
      </c>
      <c r="C93" s="96">
        <f t="shared" si="11"/>
        <v>-14458651.799966704</v>
      </c>
      <c r="D93" s="96">
        <f t="shared" si="8"/>
        <v>-132537.64149969479</v>
      </c>
      <c r="E93" s="96">
        <f t="shared" si="12"/>
        <v>361786.96191061614</v>
      </c>
      <c r="F93" s="96">
        <f t="shared" si="9"/>
        <v>229249.32041092135</v>
      </c>
      <c r="G93" s="96">
        <f t="shared" si="10"/>
        <v>-14820438.761877321</v>
      </c>
    </row>
    <row r="94" spans="1:9">
      <c r="A94" s="94"/>
      <c r="B94" s="94"/>
      <c r="C94" s="94"/>
      <c r="D94" s="103">
        <f>SUM(D10:D93)</f>
        <v>-2099819.9580754526</v>
      </c>
      <c r="E94" s="103">
        <f>SUM(E10:E93)</f>
        <v>20281632.611877318</v>
      </c>
      <c r="F94" s="94"/>
      <c r="G94" s="94"/>
    </row>
    <row r="95" spans="1:9" ht="39.950000000000003" customHeight="1">
      <c r="A95" s="440" t="s">
        <v>429</v>
      </c>
      <c r="B95" s="440"/>
      <c r="C95" s="440"/>
      <c r="D95" s="440"/>
      <c r="E95" s="440"/>
      <c r="F95" s="440"/>
      <c r="G95" s="440"/>
      <c r="H95" s="440"/>
    </row>
    <row r="96" spans="1:9">
      <c r="A96" t="s">
        <v>550</v>
      </c>
    </row>
    <row r="97" spans="1:2">
      <c r="A97">
        <v>1</v>
      </c>
      <c r="B97" t="s">
        <v>551</v>
      </c>
    </row>
    <row r="98" spans="1:2">
      <c r="A98">
        <v>2</v>
      </c>
      <c r="B98" t="s">
        <v>552</v>
      </c>
    </row>
  </sheetData>
  <mergeCells count="2">
    <mergeCell ref="A2:G2"/>
    <mergeCell ref="A95:H95"/>
  </mergeCells>
  <printOptions horizontalCentered="1"/>
  <pageMargins left="0.51181102362204722" right="0.31496062992125984" top="0.74803149606299213" bottom="0.35433070866141736" header="0.31496062992125984" footer="0.31496062992125984"/>
  <pageSetup scale="65" orientation="portrait" r:id="rId1"/>
  <rowBreaks count="1" manualBreakCount="1">
    <brk id="7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C42" zoomScale="80" zoomScaleSheetLayoutView="80" workbookViewId="0">
      <selection activeCell="H45" sqref="H45"/>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1" t="s">
        <v>575</v>
      </c>
      <c r="D2" s="421"/>
      <c r="E2" s="421"/>
      <c r="F2" s="421"/>
      <c r="G2" s="421"/>
      <c r="H2" s="421"/>
      <c r="I2" s="421"/>
      <c r="J2" s="421"/>
      <c r="K2" s="421"/>
      <c r="L2" s="210"/>
    </row>
    <row r="4" spans="3:22">
      <c r="C4" s="82" t="s">
        <v>0</v>
      </c>
      <c r="D4" s="82"/>
      <c r="E4" s="83" t="s">
        <v>2</v>
      </c>
      <c r="F4" s="83" t="s">
        <v>3</v>
      </c>
      <c r="G4" s="83" t="s">
        <v>4</v>
      </c>
      <c r="H4" s="83" t="s">
        <v>5</v>
      </c>
      <c r="I4" s="83" t="s">
        <v>6</v>
      </c>
      <c r="J4" s="83" t="s">
        <v>171</v>
      </c>
      <c r="K4" s="83" t="s">
        <v>170</v>
      </c>
      <c r="L4" s="94"/>
      <c r="M4" s="94"/>
      <c r="N4" s="251"/>
      <c r="O4" s="251"/>
      <c r="P4" s="251"/>
      <c r="Q4" s="251"/>
      <c r="R4" s="251"/>
      <c r="S4" s="251"/>
      <c r="T4" s="251"/>
      <c r="U4" s="251"/>
      <c r="V4" s="251"/>
    </row>
    <row r="5" spans="3:22">
      <c r="C5" s="95" t="s">
        <v>376</v>
      </c>
      <c r="D5" s="95"/>
      <c r="E5" s="95"/>
      <c r="F5" s="95"/>
      <c r="G5" s="95"/>
      <c r="H5" s="95"/>
      <c r="I5" s="95"/>
      <c r="J5" s="95"/>
      <c r="K5" s="95"/>
      <c r="L5" s="94"/>
      <c r="M5" s="94"/>
      <c r="N5" s="451" t="s">
        <v>546</v>
      </c>
      <c r="O5" s="451"/>
      <c r="P5" s="451"/>
      <c r="Q5" s="451"/>
      <c r="R5" s="451"/>
      <c r="S5" s="251"/>
      <c r="T5" s="251"/>
      <c r="U5" s="451" t="s">
        <v>547</v>
      </c>
      <c r="V5" s="451"/>
    </row>
    <row r="6" spans="3:22">
      <c r="C6" s="95" t="s">
        <v>377</v>
      </c>
      <c r="D6" s="190"/>
      <c r="E6" s="95"/>
      <c r="F6" s="96">
        <f t="shared" ref="F6:K9" si="0">E15</f>
        <v>0</v>
      </c>
      <c r="G6" s="96">
        <f t="shared" si="0"/>
        <v>0</v>
      </c>
      <c r="H6" s="96">
        <f t="shared" si="0"/>
        <v>0</v>
      </c>
      <c r="I6" s="96">
        <f t="shared" si="0"/>
        <v>0</v>
      </c>
      <c r="J6" s="96">
        <f t="shared" si="0"/>
        <v>0</v>
      </c>
      <c r="K6" s="96">
        <f t="shared" si="0"/>
        <v>0</v>
      </c>
      <c r="L6" s="94"/>
      <c r="M6" s="94"/>
      <c r="N6" s="450" t="s">
        <v>548</v>
      </c>
      <c r="O6" s="450"/>
      <c r="P6" s="450"/>
      <c r="Q6" s="450"/>
      <c r="R6" s="450"/>
      <c r="S6" s="251"/>
      <c r="T6" s="251"/>
      <c r="U6" s="450" t="s">
        <v>548</v>
      </c>
      <c r="V6" s="450"/>
    </row>
    <row r="7" spans="3:22">
      <c r="C7" s="95" t="s">
        <v>462</v>
      </c>
      <c r="D7" s="190"/>
      <c r="E7" s="95"/>
      <c r="F7" s="96">
        <f t="shared" si="0"/>
        <v>483416.08614999999</v>
      </c>
      <c r="G7" s="96">
        <f t="shared" si="0"/>
        <v>558345.57950325008</v>
      </c>
      <c r="H7" s="96">
        <f t="shared" si="0"/>
        <v>639559.48197645019</v>
      </c>
      <c r="I7" s="96">
        <f t="shared" si="0"/>
        <v>727498.91074821213</v>
      </c>
      <c r="J7" s="96">
        <f t="shared" si="0"/>
        <v>822633.38369220914</v>
      </c>
      <c r="K7" s="96">
        <f t="shared" si="0"/>
        <v>925462.55665373546</v>
      </c>
      <c r="L7" s="94"/>
      <c r="M7" s="94"/>
      <c r="N7" s="252" t="s">
        <v>0</v>
      </c>
      <c r="O7" s="252" t="s">
        <v>165</v>
      </c>
      <c r="P7" s="252" t="s">
        <v>166</v>
      </c>
      <c r="Q7" s="252" t="s">
        <v>320</v>
      </c>
      <c r="R7" s="252" t="s">
        <v>321</v>
      </c>
      <c r="S7" s="251"/>
      <c r="T7" s="251"/>
      <c r="U7" s="344" t="s">
        <v>0</v>
      </c>
      <c r="V7" s="344" t="s">
        <v>503</v>
      </c>
    </row>
    <row r="8" spans="3:22">
      <c r="C8" s="95" t="s">
        <v>565</v>
      </c>
      <c r="D8" s="190"/>
      <c r="E8" s="95"/>
      <c r="F8" s="96">
        <f t="shared" si="0"/>
        <v>265306.05000000005</v>
      </c>
      <c r="G8" s="96">
        <f t="shared" si="0"/>
        <v>300604.38187500002</v>
      </c>
      <c r="H8" s="96">
        <f t="shared" si="0"/>
        <v>338769.28181250003</v>
      </c>
      <c r="I8" s="96">
        <f t="shared" si="0"/>
        <v>379999.16078906256</v>
      </c>
      <c r="J8" s="96">
        <f t="shared" si="0"/>
        <v>424505.10445875023</v>
      </c>
      <c r="K8" s="96">
        <f t="shared" si="0"/>
        <v>472511.64459343388</v>
      </c>
      <c r="L8" s="94"/>
      <c r="M8" s="94"/>
      <c r="N8" s="253" t="s">
        <v>378</v>
      </c>
      <c r="O8" s="253">
        <f>'13.Facility 2 Grain Processing'!C152</f>
        <v>4800</v>
      </c>
      <c r="P8" s="253">
        <f>'13.Facility 2 Grain Processing'!C153</f>
        <v>5800</v>
      </c>
      <c r="Q8" s="253">
        <f>'13.Facility 2 Grain Processing'!C154</f>
        <v>5800</v>
      </c>
      <c r="R8" s="253">
        <f>'13.Facility 2 Grain Processing'!C155</f>
        <v>6200</v>
      </c>
      <c r="S8" s="251"/>
      <c r="T8" s="251"/>
      <c r="U8" s="253" t="s">
        <v>351</v>
      </c>
      <c r="V8" s="253">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3" t="str">
        <f>'13.Facility 2 Grain Processing'!A156</f>
        <v>Oil (Liters)</v>
      </c>
      <c r="O9" s="253">
        <f>('13.Facility 2 Grain Processing'!B156*'13.Facility 2 Grain Processing'!C156/1000)*100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Processing'!A157</f>
        <v xml:space="preserve">Daily Labour </v>
      </c>
      <c r="O10" s="255">
        <f>('13.Facility 2 Grain Processing'!B157*'13.Facility 2 Grain Processing'!C157)/('13.Facility 2 Grain Processing'!B5*'13.Facility 2 Grain Processing'!B6)</f>
        <v>112.5</v>
      </c>
      <c r="P10" s="255">
        <f>O10</f>
        <v>112.5</v>
      </c>
      <c r="Q10" s="255">
        <f t="shared" ref="Q10:R10" si="2">P10</f>
        <v>112.5</v>
      </c>
      <c r="R10" s="255">
        <f t="shared" si="2"/>
        <v>112.5</v>
      </c>
      <c r="S10" s="251"/>
      <c r="T10" s="251"/>
      <c r="U10" s="253" t="str">
        <f>'17.Facility 6 Horti Processing '!A165</f>
        <v xml:space="preserve">Daily Labour </v>
      </c>
      <c r="V10" s="254">
        <f>'17.Facility 6 Horti Processing '!B165*'17.Facility 6 Horti Processing '!C165/('17.Facility 6 Horti Processing '!B5*'17.Facility 6 Horti Processing '!B6)</f>
        <v>1500</v>
      </c>
    </row>
    <row r="11" spans="3:22">
      <c r="C11" s="95"/>
      <c r="D11" s="95"/>
      <c r="E11" s="95"/>
      <c r="F11" s="96"/>
      <c r="G11" s="96"/>
      <c r="H11" s="96"/>
      <c r="I11" s="96"/>
      <c r="J11" s="96"/>
      <c r="K11" s="96"/>
      <c r="L11" s="94"/>
      <c r="M11" s="94"/>
      <c r="N11" s="253" t="str">
        <f>'13.Facility 2 Grain Processing'!A158</f>
        <v>Electricity Charges</v>
      </c>
      <c r="O11" s="255">
        <f>('13.Facility 2 Grain Processing'!B158*'13.Facility 2 Grain Processing'!C158)/('13.Facility 2 Grain Processing'!B5*'13.Facility 2 Grain Processing'!B6)</f>
        <v>0</v>
      </c>
      <c r="P11" s="255">
        <f>O11</f>
        <v>0</v>
      </c>
      <c r="Q11" s="255">
        <f t="shared" ref="Q11" si="3">P11</f>
        <v>0</v>
      </c>
      <c r="R11" s="255">
        <f t="shared" ref="R11" si="4">Q11</f>
        <v>0</v>
      </c>
      <c r="S11" s="251"/>
      <c r="T11" s="251"/>
      <c r="U11" s="253" t="str">
        <f>'17.Facility 6 Horti Processing '!A166</f>
        <v>Electricity Charges</v>
      </c>
      <c r="V11" s="253">
        <f>'17.Facility 6 Horti Processing '!B166*'17.Facility 6 Horti Processing '!C166/('17.Facility 6 Horti Processing '!B5*'17.Facility 6 Horti Processing '!B6)</f>
        <v>0</v>
      </c>
    </row>
    <row r="12" spans="3:22">
      <c r="C12" s="95" t="s">
        <v>1</v>
      </c>
      <c r="D12" s="95"/>
      <c r="E12" s="96"/>
      <c r="F12" s="96">
        <f t="shared" ref="F12:K12" si="5">SUM(F6:F11)</f>
        <v>748722.13615000003</v>
      </c>
      <c r="G12" s="96">
        <f t="shared" si="5"/>
        <v>858949.96137825004</v>
      </c>
      <c r="H12" s="96">
        <f t="shared" si="5"/>
        <v>978328.76378895016</v>
      </c>
      <c r="I12" s="96">
        <f t="shared" si="5"/>
        <v>1107498.0715372746</v>
      </c>
      <c r="J12" s="96">
        <f t="shared" si="5"/>
        <v>1247138.4881509594</v>
      </c>
      <c r="K12" s="96">
        <f t="shared" si="5"/>
        <v>1397974.2012471694</v>
      </c>
      <c r="L12" s="94"/>
      <c r="M12" s="94"/>
      <c r="N12" s="253" t="str">
        <f>'13.Facility 2 Grain Processing'!A159</f>
        <v>Loading/Unloading Charges</v>
      </c>
      <c r="O12" s="253">
        <f>'13.Facility 2 Grain Processing'!C159*2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Processing'!A160</f>
        <v>packaging Exp</v>
      </c>
      <c r="O13" s="253">
        <f>'13.Facility 2 Grain Processing'!C160*2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353</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0.05</v>
      </c>
      <c r="E15" s="96">
        <f>SUM('16.Facility 5 Agri Input'!D197:D252)*$D$15</f>
        <v>0</v>
      </c>
      <c r="F15" s="96">
        <f>SUM('16.Facility 5 Agri Input'!E197:E252)*$D$15</f>
        <v>0</v>
      </c>
      <c r="G15" s="96">
        <f>SUM('16.Facility 5 Agri Input'!F197:F252)*$D$15</f>
        <v>0</v>
      </c>
      <c r="H15" s="96">
        <f>SUM('16.Facility 5 Agri Input'!G197:G252)*$D$15</f>
        <v>0</v>
      </c>
      <c r="I15" s="96">
        <f>SUM('16.Facility 5 Agri Input'!H197:H252)*$D$15</f>
        <v>0</v>
      </c>
      <c r="J15" s="96">
        <f>SUM('16.Facility 5 Agri Input'!I197:I252)*$D$15</f>
        <v>0</v>
      </c>
      <c r="K15" s="96">
        <f>SUM('16.Facility 5 Agri Input'!J197:J252)*$D$15</f>
        <v>0</v>
      </c>
      <c r="L15" s="94"/>
      <c r="M15" s="94"/>
      <c r="N15" s="10"/>
      <c r="O15" s="10"/>
      <c r="P15" s="10"/>
      <c r="Q15" s="10"/>
      <c r="R15" s="10"/>
      <c r="U15" s="10"/>
      <c r="V15" s="10"/>
    </row>
    <row r="16" spans="3:22">
      <c r="C16" s="95" t="str">
        <f>C7</f>
        <v>Trading</v>
      </c>
      <c r="D16" s="282">
        <v>0.05</v>
      </c>
      <c r="E16" s="96">
        <f>SUM('12.Facility 1 - Trading'!D233:D284)*$D$16</f>
        <v>483416.08614999999</v>
      </c>
      <c r="F16" s="96">
        <f>SUM('12.Facility 1 - Trading'!E233:E284)*$D$16</f>
        <v>558345.57950325008</v>
      </c>
      <c r="G16" s="96">
        <f>SUM('12.Facility 1 - Trading'!F233:F284)*$D$16</f>
        <v>639559.48197645019</v>
      </c>
      <c r="H16" s="96">
        <f>SUM('12.Facility 1 - Trading'!G233:G284)*$D$16</f>
        <v>727498.91074821213</v>
      </c>
      <c r="I16" s="96">
        <f>SUM('12.Facility 1 - Trading'!H233:H284)*$D$16</f>
        <v>822633.38369220914</v>
      </c>
      <c r="J16" s="96">
        <f>SUM('12.Facility 1 - Trading'!I233:I284)*$D$16</f>
        <v>925462.55665373546</v>
      </c>
      <c r="K16" s="96">
        <f>SUM('12.Facility 1 - Trading'!J233:J284)*$D$16</f>
        <v>1036518.0634521841</v>
      </c>
      <c r="L16" s="94"/>
      <c r="M16" s="94"/>
      <c r="N16" s="252" t="s">
        <v>379</v>
      </c>
      <c r="O16" s="256">
        <f>SUM(O8:O13)</f>
        <v>4992.5</v>
      </c>
      <c r="P16" s="256">
        <f>SUM(P8:P13)</f>
        <v>5992.5</v>
      </c>
      <c r="Q16" s="256">
        <f>SUM(Q8:Q13)</f>
        <v>5992.5</v>
      </c>
      <c r="R16" s="256">
        <f>SUM(R8:R13)</f>
        <v>6392.5</v>
      </c>
      <c r="U16" s="252" t="s">
        <v>1</v>
      </c>
      <c r="V16" s="256">
        <f>SUM(V8:V15)</f>
        <v>9710</v>
      </c>
    </row>
    <row r="17" spans="1:18">
      <c r="C17" s="95" t="str">
        <f>C8</f>
        <v xml:space="preserve">Grain Processing </v>
      </c>
      <c r="D17" s="282">
        <v>0.05</v>
      </c>
      <c r="E17" s="96">
        <f>SUM('13.Facility 2 Grain Processing'!D152:D160)*$D$17</f>
        <v>265306.05000000005</v>
      </c>
      <c r="F17" s="96">
        <f>SUM('13.Facility 2 Grain Processing'!E152:E160)*$D$17</f>
        <v>300604.38187500002</v>
      </c>
      <c r="G17" s="96">
        <f>SUM('13.Facility 2 Grain Processing'!F152:F160)*$D$17</f>
        <v>338769.28181250003</v>
      </c>
      <c r="H17" s="96">
        <f>SUM('13.Facility 2 Grain Processing'!G152:G160)*$D$17</f>
        <v>379999.16078906256</v>
      </c>
      <c r="I17" s="96">
        <f>SUM('13.Facility 2 Grain Processing'!H152:H160)*$D$17</f>
        <v>424505.10445875023</v>
      </c>
      <c r="J17" s="96">
        <f>SUM('13.Facility 2 Grain Processing'!I152:I160)*$D$17</f>
        <v>472511.64459343388</v>
      </c>
      <c r="K17" s="96">
        <f>SUM('13.Facility 2 Grain Processing'!J152:J160)*$D$17</f>
        <v>524257.57598043897</v>
      </c>
      <c r="L17" s="94"/>
      <c r="M17" s="94"/>
    </row>
    <row r="18" spans="1:18">
      <c r="C18" s="95" t="s">
        <v>533</v>
      </c>
      <c r="D18" s="282">
        <v>0.05</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748722.13615000003</v>
      </c>
      <c r="F21" s="96">
        <f t="shared" si="7"/>
        <v>858949.96137825004</v>
      </c>
      <c r="G21" s="96">
        <f t="shared" si="7"/>
        <v>978328.76378895016</v>
      </c>
      <c r="H21" s="96">
        <f t="shared" si="7"/>
        <v>1107498.0715372746</v>
      </c>
      <c r="I21" s="96">
        <f t="shared" si="7"/>
        <v>1247138.4881509594</v>
      </c>
      <c r="J21" s="96">
        <f t="shared" si="7"/>
        <v>1397974.2012471694</v>
      </c>
      <c r="K21" s="96">
        <f t="shared" si="7"/>
        <v>1560775.6394326231</v>
      </c>
      <c r="L21" s="94"/>
      <c r="M21" s="94"/>
    </row>
    <row r="22" spans="1:18">
      <c r="C22" s="94"/>
      <c r="D22" s="94"/>
      <c r="E22" s="94"/>
      <c r="F22" s="94"/>
      <c r="G22" s="94"/>
      <c r="H22" s="94"/>
      <c r="I22" s="94"/>
      <c r="J22" s="94"/>
      <c r="K22" s="94"/>
      <c r="L22" s="94"/>
      <c r="M22" s="94"/>
    </row>
    <row r="23" spans="1:18" ht="41.1" customHeight="1">
      <c r="A23" s="432" t="s">
        <v>430</v>
      </c>
      <c r="B23" s="432"/>
      <c r="C23" s="432"/>
      <c r="D23" s="432"/>
      <c r="E23" s="432"/>
      <c r="F23" s="432"/>
      <c r="G23" s="432"/>
      <c r="H23" s="432"/>
      <c r="I23" s="432"/>
      <c r="J23" s="432"/>
      <c r="K23" s="432"/>
      <c r="L23" s="343"/>
      <c r="M23" s="343"/>
      <c r="N23" s="343"/>
      <c r="O23" s="292"/>
      <c r="P23" s="292"/>
      <c r="Q23" s="292"/>
      <c r="R23" s="292"/>
    </row>
    <row r="24" spans="1:18">
      <c r="A24" t="s">
        <v>550</v>
      </c>
    </row>
    <row r="25" spans="1:18">
      <c r="A25">
        <v>1</v>
      </c>
      <c r="B25" t="s">
        <v>553</v>
      </c>
    </row>
    <row r="28" spans="1:18" ht="18.75">
      <c r="B28" s="421" t="s">
        <v>576</v>
      </c>
      <c r="C28" s="421"/>
      <c r="D28" s="421"/>
      <c r="E28" s="421"/>
      <c r="F28" s="421"/>
      <c r="G28" s="421"/>
      <c r="H28" s="421"/>
      <c r="I28" s="421"/>
      <c r="J28" s="421"/>
      <c r="K28" s="421"/>
    </row>
    <row r="30" spans="1:18">
      <c r="B30" s="443" t="s">
        <v>146</v>
      </c>
      <c r="C30" s="443" t="s">
        <v>0</v>
      </c>
      <c r="D30" s="446" t="s">
        <v>375</v>
      </c>
      <c r="E30" s="448" t="s">
        <v>160</v>
      </c>
      <c r="F30" s="449"/>
      <c r="G30" s="449"/>
      <c r="H30" s="449"/>
      <c r="I30" s="449"/>
      <c r="J30" s="449"/>
      <c r="K30" s="449"/>
    </row>
    <row r="31" spans="1:18">
      <c r="B31" s="443"/>
      <c r="C31" s="443"/>
      <c r="D31" s="447"/>
      <c r="E31" s="215" t="s">
        <v>2</v>
      </c>
      <c r="F31" s="215" t="s">
        <v>3</v>
      </c>
      <c r="G31" s="215" t="s">
        <v>4</v>
      </c>
      <c r="H31" s="215" t="s">
        <v>5</v>
      </c>
      <c r="I31" s="215" t="s">
        <v>6</v>
      </c>
      <c r="J31" s="215" t="s">
        <v>171</v>
      </c>
      <c r="K31" s="215" t="s">
        <v>170</v>
      </c>
    </row>
    <row r="32" spans="1:18">
      <c r="B32" s="218"/>
      <c r="C32" s="219"/>
      <c r="D32" s="219"/>
      <c r="E32" s="220"/>
      <c r="F32" s="220"/>
      <c r="G32" s="220"/>
      <c r="H32" s="220"/>
      <c r="I32" s="220"/>
      <c r="J32" s="220"/>
      <c r="K32" s="220"/>
    </row>
    <row r="33" spans="2:11" ht="28.5">
      <c r="B33" s="221" t="s">
        <v>175</v>
      </c>
      <c r="C33" s="222" t="s">
        <v>354</v>
      </c>
      <c r="D33" s="236"/>
      <c r="E33" s="223"/>
      <c r="F33" s="223"/>
      <c r="G33" s="223"/>
      <c r="H33" s="223"/>
      <c r="I33" s="223"/>
      <c r="J33" s="223"/>
      <c r="K33" s="223"/>
    </row>
    <row r="34" spans="2:11">
      <c r="B34" s="278">
        <v>1</v>
      </c>
      <c r="C34" s="224" t="s">
        <v>377</v>
      </c>
      <c r="D34" s="236">
        <v>14</v>
      </c>
      <c r="E34" s="223">
        <f>('16.Facility 5 Agri Input'!D191/365)*$D$34</f>
        <v>0</v>
      </c>
      <c r="F34" s="223">
        <f>('16.Facility 5 Agri Input'!E191/365)*$D$34</f>
        <v>0</v>
      </c>
      <c r="G34" s="223">
        <f>('16.Facility 5 Agri Input'!F191/365)*$D$34</f>
        <v>0</v>
      </c>
      <c r="H34" s="223">
        <f>('16.Facility 5 Agri Input'!G191/365)*$D$34</f>
        <v>0</v>
      </c>
      <c r="I34" s="223">
        <f>('16.Facility 5 Agri Input'!H191/365)*$D$34</f>
        <v>0</v>
      </c>
      <c r="J34" s="223">
        <f>('16.Facility 5 Agri Input'!I191/365)*$D$34</f>
        <v>0</v>
      </c>
      <c r="K34" s="223">
        <f>('16.Facility 5 Agri Input'!J191/365)*$D$34</f>
        <v>0</v>
      </c>
    </row>
    <row r="35" spans="2:11">
      <c r="B35" s="278">
        <v>2</v>
      </c>
      <c r="C35" s="224" t="s">
        <v>372</v>
      </c>
      <c r="D35" s="236">
        <v>14</v>
      </c>
      <c r="E35" s="223">
        <f>('15. Facility 4 Custom Hiring'!E49/365)*$D$35</f>
        <v>199543.34246575343</v>
      </c>
      <c r="F35" s="223">
        <f>('15. Facility 4 Custom Hiring'!F49/365)*$D$35</f>
        <v>209731.50684931508</v>
      </c>
      <c r="G35" s="223">
        <f>('15. Facility 4 Custom Hiring'!G49/365)*$D$35</f>
        <v>219896.04383561644</v>
      </c>
      <c r="H35" s="223">
        <f>('15. Facility 4 Custom Hiring'!H49/365)*$D$35</f>
        <v>230905.06849315076</v>
      </c>
      <c r="I35" s="223">
        <f>('15. Facility 4 Custom Hiring'!I49/365)*$D$35</f>
        <v>242435.21917808225</v>
      </c>
      <c r="J35" s="223">
        <f>('15. Facility 4 Custom Hiring'!J49/365)*$D$35</f>
        <v>254556.98013698636</v>
      </c>
      <c r="K35" s="223">
        <f>('15. Facility 4 Custom Hiring'!K49/365)*$D$35</f>
        <v>267284.8291438357</v>
      </c>
    </row>
    <row r="36" spans="2:11">
      <c r="B36" s="278">
        <v>3</v>
      </c>
      <c r="C36" s="224" t="s">
        <v>373</v>
      </c>
      <c r="D36" s="236">
        <v>14</v>
      </c>
      <c r="E36" s="223">
        <f>('12.Facility 1 - Trading'!D229/365)*$D$36</f>
        <v>454289.26660273975</v>
      </c>
      <c r="F36" s="223">
        <f>('12.Facility 1 - Trading'!E229/365)*$D$36</f>
        <v>549651.12193849334</v>
      </c>
      <c r="G36" s="223">
        <f>('12.Facility 1 - Trading'!F229/365)*$D$36</f>
        <v>629838.50667466444</v>
      </c>
      <c r="H36" s="223">
        <f>('12.Facility 1 - Trading'!G229/365)*$D$36</f>
        <v>716670.50207960675</v>
      </c>
      <c r="I36" s="223">
        <f>('12.Facility 1 - Trading'!H229/365)*$D$36</f>
        <v>810611.10075835651</v>
      </c>
      <c r="J36" s="223">
        <f>('12.Facility 1 - Trading'!I229/365)*$D$36</f>
        <v>912154.08304978232</v>
      </c>
      <c r="K36" s="223">
        <f>('12.Facility 1 - Trading'!J229/365)*$D$36</f>
        <v>1021824.8358184546</v>
      </c>
    </row>
    <row r="37" spans="2:11">
      <c r="B37" s="278">
        <v>4</v>
      </c>
      <c r="C37" s="224" t="s">
        <v>141</v>
      </c>
      <c r="D37" s="236">
        <v>14</v>
      </c>
      <c r="E37" s="223">
        <f>('13.Facility 2 Grain Processing'!D148/365)*$D$37</f>
        <v>238583.65808219175</v>
      </c>
      <c r="F37" s="223">
        <f>('13.Facility 2 Grain Processing'!E148/365)*$D$37</f>
        <v>282051.49364383565</v>
      </c>
      <c r="G37" s="223">
        <f>('13.Facility 2 Grain Processing'!F148/365)*$D$37</f>
        <v>319006.91788767127</v>
      </c>
      <c r="H37" s="223">
        <f>('13.Facility 2 Grain Processing'!G148/365)*$D$37</f>
        <v>358952.755821781</v>
      </c>
      <c r="I37" s="223">
        <f>('13.Facility 2 Grain Processing'!H148/365)*$D$37</f>
        <v>402095.66025458241</v>
      </c>
      <c r="J37" s="223">
        <f>('13.Facility 2 Grain Processing'!I148/365)*$D$37</f>
        <v>448655.47324110952</v>
      </c>
      <c r="K37" s="223">
        <f>('13.Facility 2 Grain Processing'!J148/365)*$D$37</f>
        <v>498866.02837565285</v>
      </c>
    </row>
    <row r="38" spans="2:11">
      <c r="B38" s="278">
        <v>5</v>
      </c>
      <c r="C38" s="224" t="s">
        <v>304</v>
      </c>
      <c r="D38" s="236">
        <v>14</v>
      </c>
      <c r="E38" s="223">
        <f>('14. Facility 3 Warehouse'!D23/365)*$D$38</f>
        <v>0</v>
      </c>
      <c r="F38" s="223">
        <f>('14. Facility 3 Warehouse'!E23/365)*$D$38</f>
        <v>0</v>
      </c>
      <c r="G38" s="223">
        <f>('14. Facility 3 Warehouse'!F23/365)*$D$38</f>
        <v>0</v>
      </c>
      <c r="H38" s="223">
        <f>('14. Facility 3 Warehouse'!G23/365)*$D$38</f>
        <v>0</v>
      </c>
      <c r="I38" s="223">
        <f>('14. Facility 3 Warehouse'!H23/365)*$D$38</f>
        <v>0</v>
      </c>
      <c r="J38" s="223">
        <f>('14. Facility 3 Warehouse'!I23/365)*$D$38</f>
        <v>0</v>
      </c>
      <c r="K38" s="223">
        <f>('14. Facility 3 Warehouse'!J23/365)*$D$38</f>
        <v>0</v>
      </c>
    </row>
    <row r="39" spans="2:11" ht="30">
      <c r="B39" s="278">
        <v>6</v>
      </c>
      <c r="C39" s="224" t="s">
        <v>545</v>
      </c>
      <c r="D39" s="236">
        <v>14</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8"/>
      <c r="C40" s="224"/>
      <c r="D40" s="236"/>
      <c r="E40" s="223"/>
      <c r="F40" s="223"/>
      <c r="G40" s="223"/>
      <c r="H40" s="223"/>
      <c r="I40" s="223"/>
      <c r="J40" s="223"/>
      <c r="K40" s="223"/>
    </row>
    <row r="41" spans="2:11">
      <c r="B41" s="263"/>
      <c r="C41" s="222" t="s">
        <v>173</v>
      </c>
      <c r="D41" s="236"/>
      <c r="E41" s="223">
        <f>SUM(E34:E40)</f>
        <v>892416.26715068484</v>
      </c>
      <c r="F41" s="223">
        <f t="shared" ref="F41:K41" si="8">SUM(F34:F40)</f>
        <v>1041434.122431644</v>
      </c>
      <c r="G41" s="223">
        <f t="shared" si="8"/>
        <v>1168741.4683979522</v>
      </c>
      <c r="H41" s="223">
        <f t="shared" si="8"/>
        <v>1306528.3263945384</v>
      </c>
      <c r="I41" s="223">
        <f t="shared" si="8"/>
        <v>1455141.9801910212</v>
      </c>
      <c r="J41" s="223">
        <f t="shared" si="8"/>
        <v>1615366.5364278783</v>
      </c>
      <c r="K41" s="223">
        <f t="shared" si="8"/>
        <v>1787975.6933379432</v>
      </c>
    </row>
    <row r="42" spans="2:11">
      <c r="B42" s="221" t="s">
        <v>176</v>
      </c>
      <c r="C42" s="222" t="s">
        <v>353</v>
      </c>
      <c r="D42" s="236"/>
      <c r="E42" s="223">
        <f>'5.Closing Stock &amp; W Capital'!E21</f>
        <v>748722.13615000003</v>
      </c>
      <c r="F42" s="223">
        <f>'5.Closing Stock &amp; W Capital'!F21</f>
        <v>858949.96137825004</v>
      </c>
      <c r="G42" s="223">
        <f>'5.Closing Stock &amp; W Capital'!G21</f>
        <v>978328.76378895016</v>
      </c>
      <c r="H42" s="223">
        <f>'5.Closing Stock &amp; W Capital'!H21</f>
        <v>1107498.0715372746</v>
      </c>
      <c r="I42" s="223">
        <f>'5.Closing Stock &amp; W Capital'!I21</f>
        <v>1247138.4881509594</v>
      </c>
      <c r="J42" s="223">
        <f>'5.Closing Stock &amp; W Capital'!J21</f>
        <v>1397974.2012471694</v>
      </c>
      <c r="K42" s="223">
        <f>'5.Closing Stock &amp; W Capital'!K21</f>
        <v>1560775.6394326231</v>
      </c>
    </row>
    <row r="43" spans="2:11">
      <c r="B43" s="221"/>
      <c r="C43" s="224"/>
      <c r="D43" s="236"/>
      <c r="E43" s="223"/>
      <c r="F43" s="223"/>
      <c r="G43" s="223"/>
      <c r="H43" s="223"/>
      <c r="I43" s="223"/>
      <c r="J43" s="223"/>
      <c r="K43" s="223"/>
    </row>
    <row r="44" spans="2:11">
      <c r="B44" s="444" t="s">
        <v>1</v>
      </c>
      <c r="C44" s="445"/>
      <c r="D44" s="248"/>
      <c r="E44" s="225">
        <f>SUM(E41:E42)</f>
        <v>1641138.4033006849</v>
      </c>
      <c r="F44" s="225">
        <f t="shared" ref="F44:K44" si="9">SUM(F41:F42)</f>
        <v>1900384.083809894</v>
      </c>
      <c r="G44" s="225">
        <f t="shared" si="9"/>
        <v>2147070.2321869023</v>
      </c>
      <c r="H44" s="225">
        <f t="shared" si="9"/>
        <v>2414026.3979318133</v>
      </c>
      <c r="I44" s="225">
        <f t="shared" si="9"/>
        <v>2702280.4683419806</v>
      </c>
      <c r="J44" s="225">
        <f t="shared" si="9"/>
        <v>3013340.7376750475</v>
      </c>
      <c r="K44" s="225">
        <f t="shared" si="9"/>
        <v>3348751.3327705665</v>
      </c>
    </row>
    <row r="45" spans="2:11">
      <c r="B45" s="221"/>
      <c r="C45" s="222"/>
      <c r="D45" s="236"/>
      <c r="E45" s="223"/>
      <c r="F45" s="223"/>
      <c r="G45" s="223"/>
      <c r="H45" s="223"/>
      <c r="I45" s="223"/>
      <c r="J45" s="223"/>
      <c r="K45" s="223"/>
    </row>
    <row r="46" spans="2:11" ht="34.5" customHeight="1">
      <c r="B46" s="221" t="s">
        <v>177</v>
      </c>
      <c r="C46" s="224" t="s">
        <v>355</v>
      </c>
      <c r="D46" s="236"/>
      <c r="E46" s="223"/>
      <c r="F46" s="223"/>
      <c r="G46" s="223"/>
      <c r="H46" s="223"/>
      <c r="I46" s="223"/>
      <c r="J46" s="223"/>
      <c r="K46" s="223"/>
    </row>
    <row r="47" spans="2:11">
      <c r="B47" s="278">
        <v>1</v>
      </c>
      <c r="C47" s="224" t="str">
        <f t="shared" ref="C47:C52" si="10">C34</f>
        <v>Agri Input</v>
      </c>
      <c r="D47" s="236">
        <v>7</v>
      </c>
      <c r="E47" s="223">
        <f>('16.Facility 5 Agri Input'!D262/365)*$D$47</f>
        <v>0</v>
      </c>
      <c r="F47" s="223">
        <f>('16.Facility 5 Agri Input'!E262/365)*$D$47</f>
        <v>0</v>
      </c>
      <c r="G47" s="223">
        <f>('16.Facility 5 Agri Input'!F262/365)*$D$47</f>
        <v>0</v>
      </c>
      <c r="H47" s="223">
        <f>('16.Facility 5 Agri Input'!G262/365)*$D$47</f>
        <v>0</v>
      </c>
      <c r="I47" s="223">
        <f>('16.Facility 5 Agri Input'!H262/365)*$D$47</f>
        <v>0</v>
      </c>
      <c r="J47" s="223">
        <f>('16.Facility 5 Agri Input'!I262/365)*$D$47</f>
        <v>0</v>
      </c>
      <c r="K47" s="223">
        <f>('16.Facility 5 Agri Input'!J262/365)*$D$47</f>
        <v>0</v>
      </c>
    </row>
    <row r="48" spans="2:11">
      <c r="B48" s="278">
        <v>2</v>
      </c>
      <c r="C48" s="224" t="str">
        <f t="shared" si="10"/>
        <v>Custom Hiring</v>
      </c>
      <c r="D48" s="236">
        <v>7</v>
      </c>
      <c r="E48" s="223">
        <f>('15. Facility 4 Custom Hiring'!E59/365)*$D$49</f>
        <v>66567.123287671231</v>
      </c>
      <c r="F48" s="223">
        <f>('15. Facility 4 Custom Hiring'!F59/365)*$D$49</f>
        <v>69895.479452054802</v>
      </c>
      <c r="G48" s="223">
        <f>('15. Facility 4 Custom Hiring'!G59/365)*$D$49</f>
        <v>73390.253424657538</v>
      </c>
      <c r="H48" s="223">
        <f>('15. Facility 4 Custom Hiring'!H59/365)*$D$49</f>
        <v>77059.766095890416</v>
      </c>
      <c r="I48" s="223">
        <f>('15. Facility 4 Custom Hiring'!I59/365)*$D$49</f>
        <v>80912.754400684935</v>
      </c>
      <c r="J48" s="223">
        <f>('15. Facility 4 Custom Hiring'!J59/365)*$D$49</f>
        <v>84958.392120719203</v>
      </c>
      <c r="K48" s="223">
        <f>('15. Facility 4 Custom Hiring'!K59/365)*$D$49</f>
        <v>89206.311726755172</v>
      </c>
    </row>
    <row r="49" spans="1:12">
      <c r="B49" s="278">
        <v>3</v>
      </c>
      <c r="C49" s="224" t="str">
        <f t="shared" si="10"/>
        <v>Cleaning &amp; Grading</v>
      </c>
      <c r="D49" s="236">
        <v>7</v>
      </c>
      <c r="E49" s="223">
        <f>('12.Facility 1 - Trading'!D292/365)*$D$49</f>
        <v>192834.91887109587</v>
      </c>
      <c r="F49" s="223">
        <f>('12.Facility 1 - Trading'!E292/365)*$D$49</f>
        <v>231995.3247291295</v>
      </c>
      <c r="G49" s="223">
        <f>('12.Facility 1 - Trading'!F292/365)*$D$49</f>
        <v>265828.5950815907</v>
      </c>
      <c r="H49" s="223">
        <f>('12.Facility 1 - Trading'!G292/365)*$D$49</f>
        <v>302465.20415747538</v>
      </c>
      <c r="I49" s="223">
        <f>('12.Facility 1 - Trading'!H292/365)*$D$49</f>
        <v>342100.90265324438</v>
      </c>
      <c r="J49" s="223">
        <f>('12.Facility 1 - Trading'!I292/365)*$D$49</f>
        <v>384944.00798819668</v>
      </c>
      <c r="K49" s="223">
        <f>('12.Facility 1 - Trading'!J292/365)*$D$49</f>
        <v>431216.17160001112</v>
      </c>
    </row>
    <row r="50" spans="1:12">
      <c r="B50" s="278">
        <v>4</v>
      </c>
      <c r="C50" s="224" t="str">
        <f t="shared" si="10"/>
        <v>Dal Mill</v>
      </c>
      <c r="D50" s="236">
        <v>7</v>
      </c>
      <c r="E50" s="223">
        <f>('13.Facility 2 Grain Processing'!D169/365)*$D$50</f>
        <v>98286.653835616467</v>
      </c>
      <c r="F50" s="223">
        <f>('13.Facility 2 Grain Processing'!E169/365)*$D$50</f>
        <v>116458.70188869862</v>
      </c>
      <c r="G50" s="223">
        <f>('13.Facility 2 Grain Processing'!F169/365)*$D$50</f>
        <v>131282.32506626713</v>
      </c>
      <c r="H50" s="223">
        <f>('13.Facility 2 Grain Processing'!G169/365)*$D$50</f>
        <v>147297.16380687073</v>
      </c>
      <c r="I50" s="223">
        <f>('13.Facility 2 Grain Processing'!H169/365)*$D$50</f>
        <v>164585.28060886913</v>
      </c>
      <c r="J50" s="223">
        <f>('13.Facility 2 Grain Processing'!I169/365)*$D$50</f>
        <v>183233.96618155006</v>
      </c>
      <c r="K50" s="223">
        <f>('13.Facility 2 Grain Processing'!J169/365)*$D$50</f>
        <v>203336.05710997691</v>
      </c>
    </row>
    <row r="51" spans="1:12">
      <c r="B51" s="278">
        <v>5</v>
      </c>
      <c r="C51" s="224" t="str">
        <f t="shared" si="10"/>
        <v>Warehouse</v>
      </c>
      <c r="D51" s="236">
        <v>7</v>
      </c>
      <c r="E51" s="223">
        <f>('14. Facility 3 Warehouse'!D34/365)*$D$51</f>
        <v>0</v>
      </c>
      <c r="F51" s="223">
        <f>('14. Facility 3 Warehouse'!E34/365)*$D$51</f>
        <v>0</v>
      </c>
      <c r="G51" s="223">
        <f>('14. Facility 3 Warehouse'!F34/365)*$D$51</f>
        <v>0</v>
      </c>
      <c r="H51" s="223">
        <f>('14. Facility 3 Warehouse'!G34/365)*$D$51</f>
        <v>0</v>
      </c>
      <c r="I51" s="223">
        <f>('14. Facility 3 Warehouse'!H34/365)*$D$51</f>
        <v>0</v>
      </c>
      <c r="J51" s="223">
        <f>('14. Facility 3 Warehouse'!I34/365)*$D$51</f>
        <v>0</v>
      </c>
      <c r="K51" s="223">
        <f>('14. Facility 3 Warehouse'!J34/365)*$D$51</f>
        <v>0</v>
      </c>
    </row>
    <row r="52" spans="1:12" ht="30">
      <c r="B52" s="278"/>
      <c r="C52" s="224" t="str">
        <f t="shared" si="10"/>
        <v>Processing Unit - Horti Commodity</v>
      </c>
      <c r="D52" s="236">
        <v>7</v>
      </c>
      <c r="E52" s="223">
        <f>('17.Facility 6 Horti Processing '!D177/365)*$D$52</f>
        <v>0</v>
      </c>
      <c r="F52" s="223">
        <f>('17.Facility 6 Horti Processing '!E177/365)*$D$52</f>
        <v>0</v>
      </c>
      <c r="G52" s="223">
        <f>('17.Facility 6 Horti Processing '!F177/365)*$D$52</f>
        <v>0</v>
      </c>
      <c r="H52" s="223">
        <f>('17.Facility 6 Horti Processing '!G177/365)*$D$52</f>
        <v>0</v>
      </c>
      <c r="I52" s="223">
        <f>('17.Facility 6 Horti Processing '!H177/365)*$D$52</f>
        <v>0</v>
      </c>
      <c r="J52" s="223">
        <f>('17.Facility 6 Horti Processing '!I177/365)*$D$52</f>
        <v>0</v>
      </c>
      <c r="K52" s="223">
        <f>('17.Facility 6 Horti Processing '!J177/365)*$D$52</f>
        <v>0</v>
      </c>
    </row>
    <row r="53" spans="1:12">
      <c r="B53" s="278"/>
      <c r="C53" s="224"/>
      <c r="D53" s="236"/>
      <c r="E53" s="223"/>
      <c r="F53" s="223"/>
      <c r="G53" s="223"/>
      <c r="H53" s="223"/>
      <c r="I53" s="223"/>
      <c r="J53" s="223"/>
      <c r="K53" s="223"/>
    </row>
    <row r="54" spans="1:12">
      <c r="B54" s="216"/>
      <c r="C54" s="222" t="s">
        <v>1</v>
      </c>
      <c r="D54" s="236"/>
      <c r="E54" s="225">
        <f>SUM(E47:E53)</f>
        <v>357688.6959943836</v>
      </c>
      <c r="F54" s="225">
        <f t="shared" ref="F54:K54" si="11">SUM(F47:F53)</f>
        <v>418349.50606988289</v>
      </c>
      <c r="G54" s="225">
        <f t="shared" si="11"/>
        <v>470501.17357251537</v>
      </c>
      <c r="H54" s="225">
        <f t="shared" si="11"/>
        <v>526822.13406023651</v>
      </c>
      <c r="I54" s="225">
        <f t="shared" si="11"/>
        <v>587598.93766279845</v>
      </c>
      <c r="J54" s="225">
        <f t="shared" si="11"/>
        <v>653136.36629046593</v>
      </c>
      <c r="K54" s="225">
        <f t="shared" si="11"/>
        <v>723758.54043674318</v>
      </c>
    </row>
    <row r="55" spans="1:12">
      <c r="B55" s="221" t="s">
        <v>178</v>
      </c>
      <c r="C55" s="222" t="s">
        <v>158</v>
      </c>
      <c r="D55" s="236"/>
      <c r="E55" s="225">
        <f>E44-E54</f>
        <v>1283449.7073063012</v>
      </c>
      <c r="F55" s="225">
        <f t="shared" ref="F55:K55" si="12">F44-F54</f>
        <v>1482034.5777400113</v>
      </c>
      <c r="G55" s="225">
        <f t="shared" si="12"/>
        <v>1676569.0586143869</v>
      </c>
      <c r="H55" s="225">
        <f t="shared" si="12"/>
        <v>1887204.2638715766</v>
      </c>
      <c r="I55" s="225">
        <f t="shared" si="12"/>
        <v>2114681.5306791821</v>
      </c>
      <c r="J55" s="225">
        <f t="shared" si="12"/>
        <v>2360204.3713845816</v>
      </c>
      <c r="K55" s="225">
        <f t="shared" si="12"/>
        <v>2624992.7923338232</v>
      </c>
    </row>
    <row r="56" spans="1:12">
      <c r="B56" s="221"/>
      <c r="C56" s="222" t="s">
        <v>135</v>
      </c>
      <c r="D56" s="287">
        <v>0</v>
      </c>
      <c r="E56" s="225">
        <f>E55*$D$56</f>
        <v>0</v>
      </c>
      <c r="F56" s="225"/>
      <c r="G56" s="225"/>
      <c r="H56" s="225"/>
      <c r="I56" s="225"/>
      <c r="J56" s="225"/>
      <c r="K56" s="225"/>
    </row>
    <row r="58" spans="1:12">
      <c r="E58" s="29"/>
    </row>
    <row r="59" spans="1:12" ht="36.950000000000003" customHeight="1">
      <c r="A59" s="441" t="s">
        <v>426</v>
      </c>
      <c r="B59" s="442"/>
      <c r="C59" s="442"/>
      <c r="D59" s="442"/>
      <c r="E59" s="442"/>
      <c r="F59" s="442"/>
      <c r="G59" s="442"/>
      <c r="H59" s="442"/>
      <c r="I59" s="442"/>
      <c r="J59" s="442"/>
      <c r="K59" s="442"/>
      <c r="L59" s="442"/>
    </row>
    <row r="60" spans="1:12">
      <c r="A60" t="s">
        <v>554</v>
      </c>
    </row>
    <row r="61" spans="1:12">
      <c r="A61">
        <v>1</v>
      </c>
      <c r="B61" t="s">
        <v>555</v>
      </c>
    </row>
    <row r="62" spans="1:12">
      <c r="A62">
        <v>2</v>
      </c>
      <c r="B62" t="s">
        <v>556</v>
      </c>
    </row>
    <row r="63" spans="1:12">
      <c r="A63">
        <v>3</v>
      </c>
      <c r="B63" t="s">
        <v>557</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rintOptions horizontalCentered="1"/>
  <pageMargins left="0.31496062992126" right="0.118110236220472" top="0.35433070866141703" bottom="0.35433070866141703" header="0.31496062992126" footer="0.31496062992126"/>
  <pageSetup paperSize="9" scale="51"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topLeftCell="A32" zoomScale="80" zoomScaleSheetLayoutView="80" workbookViewId="0">
      <selection activeCell="B51" sqref="B51"/>
    </sheetView>
  </sheetViews>
  <sheetFormatPr defaultRowHeight="15"/>
  <cols>
    <col min="1" max="1" width="40.5703125" bestFit="1" customWidth="1"/>
    <col min="2"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419" t="s">
        <v>577</v>
      </c>
      <c r="B2" s="419"/>
      <c r="C2" s="419"/>
      <c r="D2" s="419"/>
      <c r="E2" s="419"/>
      <c r="F2" s="419"/>
      <c r="G2" s="419"/>
      <c r="H2" s="419"/>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520</v>
      </c>
      <c r="B8" s="96">
        <f>'12.Facility 1 - Trading'!D229</f>
        <v>11843970.165000001</v>
      </c>
      <c r="C8" s="96">
        <f>'12.Facility 1 - Trading'!E229</f>
        <v>14330189.964825004</v>
      </c>
      <c r="D8" s="96">
        <f>'12.Facility 1 - Trading'!F229</f>
        <v>16420789.638303751</v>
      </c>
      <c r="E8" s="96">
        <f>'12.Facility 1 - Trading'!G229</f>
        <v>18684623.804218318</v>
      </c>
      <c r="F8" s="96">
        <f>'12.Facility 1 - Trading'!H229</f>
        <v>21133789.41262858</v>
      </c>
      <c r="G8" s="96">
        <f>'12.Facility 1 - Trading'!I229</f>
        <v>23781160.022369325</v>
      </c>
      <c r="H8" s="96">
        <f>'12.Facility 1 - Trading'!J229</f>
        <v>26640433.219552569</v>
      </c>
    </row>
    <row r="9" spans="1:8">
      <c r="A9" s="95" t="s">
        <v>521</v>
      </c>
      <c r="B9" s="96">
        <f>'13.Facility 2 Grain Processing'!D148</f>
        <v>6220216.7999999998</v>
      </c>
      <c r="C9" s="96">
        <f>'13.Facility 2 Grain Processing'!E148</f>
        <v>7353485.370000001</v>
      </c>
      <c r="D9" s="96">
        <f>'13.Facility 2 Grain Processing'!F148</f>
        <v>8316966.0735000009</v>
      </c>
      <c r="E9" s="96">
        <f>'13.Facility 2 Grain Processing'!G148</f>
        <v>9358411.1339250039</v>
      </c>
      <c r="F9" s="96">
        <f>'13.Facility 2 Grain Processing'!H148</f>
        <v>10483208.285208756</v>
      </c>
      <c r="G9" s="96">
        <f>'13.Facility 2 Grain Processing'!I148</f>
        <v>11697089.123786069</v>
      </c>
      <c r="H9" s="96">
        <f>'13.Facility 2 Grain Processing'!J148</f>
        <v>13006150.025508091</v>
      </c>
    </row>
    <row r="10" spans="1:8">
      <c r="A10" s="95" t="s">
        <v>522</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523</v>
      </c>
      <c r="B11" s="96">
        <f>'15. Facility 4 Custom Hiring'!E49</f>
        <v>5202380</v>
      </c>
      <c r="C11" s="96">
        <f>'15. Facility 4 Custom Hiring'!F49</f>
        <v>5468000</v>
      </c>
      <c r="D11" s="96">
        <f>'15. Facility 4 Custom Hiring'!G49</f>
        <v>5733004</v>
      </c>
      <c r="E11" s="96">
        <f>'15. Facility 4 Custom Hiring'!H49</f>
        <v>6020025.0000000009</v>
      </c>
      <c r="F11" s="96">
        <f>'15. Facility 4 Custom Hiring'!I49</f>
        <v>6320632.5000000009</v>
      </c>
      <c r="G11" s="96">
        <f>'15. Facility 4 Custom Hiring'!J49</f>
        <v>6636664.1250000009</v>
      </c>
      <c r="H11" s="96">
        <f>'15. Facility 4 Custom Hiring'!K49</f>
        <v>6968497.3312500026</v>
      </c>
    </row>
    <row r="12" spans="1:8">
      <c r="A12" s="95" t="s">
        <v>519</v>
      </c>
      <c r="B12" s="96">
        <f>'16.Facility 5 Agri Input'!D191</f>
        <v>0</v>
      </c>
      <c r="C12" s="96">
        <f>'16.Facility 5 Agri Input'!E191</f>
        <v>0</v>
      </c>
      <c r="D12" s="96">
        <f>'16.Facility 5 Agri Input'!F191</f>
        <v>0</v>
      </c>
      <c r="E12" s="96">
        <f>'16.Facility 5 Agri Input'!G191</f>
        <v>0</v>
      </c>
      <c r="F12" s="96">
        <f>'16.Facility 5 Agri Input'!H191</f>
        <v>0</v>
      </c>
      <c r="G12" s="96">
        <f>'16.Facility 5 Agri Input'!I191</f>
        <v>0</v>
      </c>
      <c r="H12" s="96">
        <f>'16.Facility 5 Agri Input'!J191</f>
        <v>0</v>
      </c>
    </row>
    <row r="13" spans="1:8">
      <c r="A13" s="95" t="s">
        <v>544</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23266566.965</v>
      </c>
      <c r="C15" s="115">
        <f t="shared" ref="C15:H15" si="0">SUM(C8:C14)</f>
        <v>27151675.334825005</v>
      </c>
      <c r="D15" s="115">
        <f t="shared" si="0"/>
        <v>30470759.711803753</v>
      </c>
      <c r="E15" s="115">
        <f t="shared" si="0"/>
        <v>34063059.93814332</v>
      </c>
      <c r="F15" s="115">
        <f t="shared" si="0"/>
        <v>37937630.197837338</v>
      </c>
      <c r="G15" s="115">
        <f t="shared" si="0"/>
        <v>42114913.271155395</v>
      </c>
      <c r="H15" s="115">
        <f t="shared" si="0"/>
        <v>46615080.576310664</v>
      </c>
    </row>
    <row r="16" spans="1:8">
      <c r="A16" s="95"/>
      <c r="B16" s="96"/>
      <c r="C16" s="96"/>
      <c r="D16" s="96"/>
      <c r="E16" s="96"/>
      <c r="F16" s="96"/>
      <c r="G16" s="96"/>
      <c r="H16" s="96"/>
    </row>
    <row r="17" spans="1:8">
      <c r="A17" s="97" t="s">
        <v>316</v>
      </c>
      <c r="B17" s="96"/>
      <c r="C17" s="96"/>
      <c r="D17" s="96"/>
      <c r="E17" s="96"/>
      <c r="F17" s="96"/>
      <c r="G17" s="96"/>
      <c r="H17" s="96"/>
    </row>
    <row r="18" spans="1:8">
      <c r="A18" s="95" t="str">
        <f t="shared" ref="A18:A23" si="1">A8</f>
        <v>Faclitiy 1 - Cleaning &amp; Grading</v>
      </c>
      <c r="B18" s="96">
        <f>'12.Facility 1 - Trading'!D292</f>
        <v>10054963.62685</v>
      </c>
      <c r="C18" s="96">
        <f>'12.Facility 1 - Trading'!E292</f>
        <v>12096899.075161751</v>
      </c>
      <c r="D18" s="96">
        <f>'12.Facility 1 - Trading'!F292</f>
        <v>13861062.457825802</v>
      </c>
      <c r="E18" s="96">
        <f>'12.Facility 1 - Trading'!G292</f>
        <v>15771399.931068357</v>
      </c>
      <c r="F18" s="96">
        <f>'12.Facility 1 - Trading'!H292</f>
        <v>17838118.495490599</v>
      </c>
      <c r="G18" s="96">
        <f>'12.Facility 1 - Trading'!I292</f>
        <v>20072080.416527398</v>
      </c>
      <c r="H18" s="96">
        <f>'12.Facility 1 - Trading'!J292</f>
        <v>22484843.233429153</v>
      </c>
    </row>
    <row r="19" spans="1:8">
      <c r="A19" s="95" t="str">
        <f t="shared" si="1"/>
        <v>Faclitiy 2 - Processing Unit- Dal Mill</v>
      </c>
      <c r="B19" s="96">
        <f>'13.Facility 2 Grain Processing'!D169</f>
        <v>5124946.9500000011</v>
      </c>
      <c r="C19" s="96">
        <f>'13.Facility 2 Grain Processing'!E169</f>
        <v>6072489.4556250004</v>
      </c>
      <c r="D19" s="96">
        <f>'13.Facility 2 Grain Processing'!F169</f>
        <v>6845435.5213125004</v>
      </c>
      <c r="E19" s="96">
        <f>'13.Facility 2 Grain Processing'!G169</f>
        <v>7680494.9699296886</v>
      </c>
      <c r="F19" s="96">
        <f>'13.Facility 2 Grain Processing'!H169</f>
        <v>8581946.7746053189</v>
      </c>
      <c r="G19" s="96">
        <f>'13.Facility 2 Grain Processing'!I169</f>
        <v>9554342.522323681</v>
      </c>
      <c r="H19" s="96">
        <f>'13.Facility 2 Grain Processing'!J169</f>
        <v>10602522.977877367</v>
      </c>
    </row>
    <row r="20" spans="1:8">
      <c r="A20" s="95" t="str">
        <f t="shared" si="1"/>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1"/>
        <v xml:space="preserve">Faclitiy 4 - Custom Hiring </v>
      </c>
      <c r="B21" s="96">
        <f>'15. Facility 4 Custom Hiring'!E59</f>
        <v>3471000</v>
      </c>
      <c r="C21" s="96">
        <f>'15. Facility 4 Custom Hiring'!F59</f>
        <v>3644550</v>
      </c>
      <c r="D21" s="96">
        <f>'15. Facility 4 Custom Hiring'!G59</f>
        <v>3826777.5</v>
      </c>
      <c r="E21" s="96">
        <f>'15. Facility 4 Custom Hiring'!H59</f>
        <v>4018116.3750000005</v>
      </c>
      <c r="F21" s="96">
        <f>'15. Facility 4 Custom Hiring'!I59</f>
        <v>4219022.1937500006</v>
      </c>
      <c r="G21" s="96">
        <f>'15. Facility 4 Custom Hiring'!J59</f>
        <v>4429973.3034375012</v>
      </c>
      <c r="H21" s="96">
        <f>'15. Facility 4 Custom Hiring'!K59</f>
        <v>4651471.9686093768</v>
      </c>
    </row>
    <row r="22" spans="1:8">
      <c r="A22" s="95" t="str">
        <f t="shared" si="1"/>
        <v>Faclitiy 5 - Agri Input Centre</v>
      </c>
      <c r="B22" s="96">
        <f>'16.Facility 5 Agri Input'!D262</f>
        <v>0</v>
      </c>
      <c r="C22" s="96">
        <f>'16.Facility 5 Agri Input'!E262</f>
        <v>0</v>
      </c>
      <c r="D22" s="96">
        <f>'16.Facility 5 Agri Input'!F262</f>
        <v>0</v>
      </c>
      <c r="E22" s="96">
        <f>'16.Facility 5 Agri Input'!G262</f>
        <v>0</v>
      </c>
      <c r="F22" s="96">
        <f>'16.Facility 5 Agri Input'!H262</f>
        <v>0</v>
      </c>
      <c r="G22" s="96">
        <f>'16.Facility 5 Agri Input'!I262</f>
        <v>0</v>
      </c>
      <c r="H22" s="96">
        <f>'16.Facility 5 Agri Input'!J262</f>
        <v>0</v>
      </c>
    </row>
    <row r="23" spans="1:8">
      <c r="A23" s="95" t="str">
        <f t="shared" si="1"/>
        <v>Facility 6 - Processing Unit - Horti Commodity</v>
      </c>
      <c r="B23" s="96">
        <f>'17.Facility 6 Horti Processing '!D177</f>
        <v>0</v>
      </c>
      <c r="C23" s="96">
        <f>'17.Facility 6 Horti Processing '!E177</f>
        <v>0</v>
      </c>
      <c r="D23" s="96">
        <f>'17.Facility 6 Horti Processing '!F177</f>
        <v>0</v>
      </c>
      <c r="E23" s="96">
        <f>'17.Facility 6 Horti Processing '!G177</f>
        <v>0</v>
      </c>
      <c r="F23" s="96">
        <f>'17.Facility 6 Horti Processing '!H177</f>
        <v>0</v>
      </c>
      <c r="G23" s="96">
        <f>'17.Facility 6 Horti Processing '!I177</f>
        <v>0</v>
      </c>
      <c r="H23" s="96">
        <f>'17.Facility 6 Horti Processing '!J177</f>
        <v>0</v>
      </c>
    </row>
    <row r="24" spans="1:8">
      <c r="A24" s="95"/>
      <c r="B24" s="96"/>
      <c r="C24" s="96"/>
      <c r="D24" s="96"/>
      <c r="E24" s="96"/>
      <c r="F24" s="96"/>
      <c r="G24" s="96"/>
      <c r="H24" s="96"/>
    </row>
    <row r="25" spans="1:8">
      <c r="A25" s="97" t="s">
        <v>327</v>
      </c>
      <c r="B25" s="115">
        <f>SUM(B18:B24)</f>
        <v>18650910.576850001</v>
      </c>
      <c r="C25" s="115">
        <f t="shared" ref="C25:H25" si="2">SUM(C18:C24)</f>
        <v>21813938.530786753</v>
      </c>
      <c r="D25" s="115">
        <f t="shared" si="2"/>
        <v>24533275.479138304</v>
      </c>
      <c r="E25" s="115">
        <f t="shared" si="2"/>
        <v>27470011.275998045</v>
      </c>
      <c r="F25" s="115">
        <f t="shared" si="2"/>
        <v>30639087.46384592</v>
      </c>
      <c r="G25" s="115">
        <f t="shared" si="2"/>
        <v>34056396.242288582</v>
      </c>
      <c r="H25" s="115">
        <f t="shared" si="2"/>
        <v>37738838.179915898</v>
      </c>
    </row>
    <row r="26" spans="1:8">
      <c r="A26" s="95"/>
      <c r="B26" s="96"/>
      <c r="C26" s="96"/>
      <c r="D26" s="96"/>
      <c r="E26" s="96"/>
      <c r="F26" s="96"/>
      <c r="G26" s="96"/>
      <c r="H26" s="96"/>
    </row>
    <row r="27" spans="1:8">
      <c r="A27" s="97" t="s">
        <v>314</v>
      </c>
      <c r="B27" s="96"/>
      <c r="C27" s="96"/>
      <c r="D27" s="96"/>
      <c r="E27" s="96"/>
      <c r="F27" s="96"/>
      <c r="G27" s="96"/>
      <c r="H27" s="96"/>
    </row>
    <row r="28" spans="1:8">
      <c r="A28" s="95" t="str">
        <f t="shared" ref="A28:A33" si="3">A18</f>
        <v>Faclitiy 1 - Cleaning &amp; Grading</v>
      </c>
      <c r="B28" s="96">
        <f>'12.Facility 1 - Trading'!D301</f>
        <v>288000</v>
      </c>
      <c r="C28" s="96">
        <f>'12.Facility 1 - Trading'!E301</f>
        <v>302400</v>
      </c>
      <c r="D28" s="96">
        <f>'12.Facility 1 - Trading'!F301</f>
        <v>317520</v>
      </c>
      <c r="E28" s="96">
        <f>'12.Facility 1 - Trading'!G301</f>
        <v>333396.00000000006</v>
      </c>
      <c r="F28" s="96">
        <f>'12.Facility 1 - Trading'!H301</f>
        <v>350065.80000000005</v>
      </c>
      <c r="G28" s="96">
        <f>'12.Facility 1 - Trading'!I301</f>
        <v>367569.09000000008</v>
      </c>
      <c r="H28" s="96">
        <f>'12.Facility 1 - Trading'!J301</f>
        <v>385947.54450000013</v>
      </c>
    </row>
    <row r="29" spans="1:8">
      <c r="A29" s="95" t="str">
        <f t="shared" si="3"/>
        <v>Faclitiy 2 - Processing Unit- Dal Mill</v>
      </c>
      <c r="B29" s="96">
        <f>'13.Facility 2 Grain Processing'!D177</f>
        <v>0</v>
      </c>
      <c r="C29" s="96">
        <f>'13.Facility 2 Grain Processing'!E177</f>
        <v>0</v>
      </c>
      <c r="D29" s="96">
        <f>'13.Facility 2 Grain Processing'!F177</f>
        <v>0</v>
      </c>
      <c r="E29" s="96">
        <f>'13.Facility 2 Grain Processing'!G177</f>
        <v>0</v>
      </c>
      <c r="F29" s="96">
        <f>'13.Facility 2 Grain Processing'!H177</f>
        <v>0</v>
      </c>
      <c r="G29" s="96">
        <f>'13.Facility 2 Grain Processing'!I177</f>
        <v>0</v>
      </c>
      <c r="H29" s="96">
        <f>'13.Facility 2 Grain Processing'!J177</f>
        <v>0</v>
      </c>
    </row>
    <row r="30" spans="1:8">
      <c r="A30" s="95" t="str">
        <f t="shared" si="3"/>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3"/>
        <v xml:space="preserve">Faclitiy 4 - Custom Hiring </v>
      </c>
      <c r="B31" s="96">
        <f>'15. Facility 4 Custom Hiring'!E66</f>
        <v>600000</v>
      </c>
      <c r="C31" s="96">
        <f>'15. Facility 4 Custom Hiring'!F66</f>
        <v>630000</v>
      </c>
      <c r="D31" s="96">
        <f>'15. Facility 4 Custom Hiring'!G66</f>
        <v>661500</v>
      </c>
      <c r="E31" s="96">
        <f>'15. Facility 4 Custom Hiring'!H66</f>
        <v>694575.00000000012</v>
      </c>
      <c r="F31" s="96">
        <f>'15. Facility 4 Custom Hiring'!I66</f>
        <v>729303.75000000012</v>
      </c>
      <c r="G31" s="96">
        <f>'15. Facility 4 Custom Hiring'!J66</f>
        <v>765768.93750000023</v>
      </c>
      <c r="H31" s="96">
        <f>'15. Facility 4 Custom Hiring'!K66</f>
        <v>804057.38437500026</v>
      </c>
    </row>
    <row r="32" spans="1:8">
      <c r="A32" s="95" t="str">
        <f t="shared" si="3"/>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3"/>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684000</v>
      </c>
      <c r="C35" s="96">
        <f>'3.Other Exp &amp; Taxes'!F23</f>
        <v>718200</v>
      </c>
      <c r="D35" s="96">
        <f>'3.Other Exp &amp; Taxes'!G23</f>
        <v>754110</v>
      </c>
      <c r="E35" s="96">
        <f>'3.Other Exp &amp; Taxes'!H23</f>
        <v>791815.50000000012</v>
      </c>
      <c r="F35" s="96">
        <f>'3.Other Exp &amp; Taxes'!I23</f>
        <v>831406.27500000014</v>
      </c>
      <c r="G35" s="96">
        <f>'3.Other Exp &amp; Taxes'!J23</f>
        <v>872976.58875000023</v>
      </c>
      <c r="H35" s="96">
        <f>'3.Other Exp &amp; Taxes'!K23</f>
        <v>916625.41818750033</v>
      </c>
    </row>
    <row r="36" spans="1:10">
      <c r="A36" s="97" t="s">
        <v>331</v>
      </c>
      <c r="B36" s="115">
        <f t="shared" ref="B36:H36" si="4">SUM(B28:B35)</f>
        <v>1572000</v>
      </c>
      <c r="C36" s="115">
        <f t="shared" si="4"/>
        <v>1650600</v>
      </c>
      <c r="D36" s="115">
        <f t="shared" si="4"/>
        <v>1733130</v>
      </c>
      <c r="E36" s="115">
        <f t="shared" si="4"/>
        <v>1819786.5000000005</v>
      </c>
      <c r="F36" s="115">
        <f t="shared" si="4"/>
        <v>1910775.8250000004</v>
      </c>
      <c r="G36" s="115">
        <f t="shared" si="4"/>
        <v>2006314.6162500004</v>
      </c>
      <c r="H36" s="115">
        <f t="shared" si="4"/>
        <v>2106630.3470625007</v>
      </c>
    </row>
    <row r="37" spans="1:10">
      <c r="A37" s="95"/>
      <c r="B37" s="96"/>
      <c r="C37" s="96"/>
      <c r="D37" s="96"/>
      <c r="E37" s="96"/>
      <c r="F37" s="96"/>
      <c r="G37" s="96"/>
      <c r="H37" s="96"/>
    </row>
    <row r="38" spans="1:10">
      <c r="A38" s="97" t="s">
        <v>336</v>
      </c>
      <c r="B38" s="115">
        <f t="shared" ref="B38:H38" si="5">B25+B36</f>
        <v>20222910.576850001</v>
      </c>
      <c r="C38" s="115">
        <f t="shared" si="5"/>
        <v>23464538.530786753</v>
      </c>
      <c r="D38" s="115">
        <f t="shared" si="5"/>
        <v>26266405.479138304</v>
      </c>
      <c r="E38" s="115">
        <f t="shared" si="5"/>
        <v>29289797.775998045</v>
      </c>
      <c r="F38" s="115">
        <f t="shared" si="5"/>
        <v>32549863.288845919</v>
      </c>
      <c r="G38" s="115">
        <f t="shared" si="5"/>
        <v>36062710.858538583</v>
      </c>
      <c r="H38" s="115">
        <f t="shared" si="5"/>
        <v>39845468.526978396</v>
      </c>
    </row>
    <row r="39" spans="1:10">
      <c r="A39" s="95"/>
      <c r="B39" s="96"/>
      <c r="C39" s="96"/>
      <c r="D39" s="96"/>
      <c r="E39" s="96"/>
      <c r="F39" s="96"/>
      <c r="G39" s="96"/>
      <c r="H39" s="96"/>
    </row>
    <row r="40" spans="1:10">
      <c r="A40" s="97" t="s">
        <v>137</v>
      </c>
      <c r="B40" s="115">
        <f t="shared" ref="B40:H40" si="6">B15-B38</f>
        <v>3043656.3881499991</v>
      </c>
      <c r="C40" s="115">
        <f t="shared" si="6"/>
        <v>3687136.8040382527</v>
      </c>
      <c r="D40" s="115">
        <f t="shared" si="6"/>
        <v>4204354.2326654494</v>
      </c>
      <c r="E40" s="115">
        <f t="shared" si="6"/>
        <v>4773262.1621452756</v>
      </c>
      <c r="F40" s="115">
        <f t="shared" si="6"/>
        <v>5387766.9089914188</v>
      </c>
      <c r="G40" s="115">
        <f t="shared" si="6"/>
        <v>6052202.4126168117</v>
      </c>
      <c r="H40" s="115">
        <f t="shared" si="6"/>
        <v>6769612.0493322685</v>
      </c>
      <c r="J40" s="67">
        <f>B49+B42+B43</f>
        <v>2352356.206735481</v>
      </c>
    </row>
    <row r="41" spans="1:10">
      <c r="A41" s="95"/>
      <c r="B41" s="96"/>
      <c r="C41" s="96"/>
      <c r="D41" s="96"/>
      <c r="E41" s="96"/>
      <c r="F41" s="96"/>
      <c r="G41" s="96"/>
      <c r="H41" s="96"/>
      <c r="J41">
        <f>'5.Closing Stock &amp; W Capital'!E56</f>
        <v>0</v>
      </c>
    </row>
    <row r="42" spans="1:10">
      <c r="A42" s="99" t="s">
        <v>17</v>
      </c>
      <c r="B42" s="96">
        <f>'3.Other Exp &amp; Taxes'!C66</f>
        <v>848839.85789999994</v>
      </c>
      <c r="C42" s="96">
        <f>'3.Other Exp &amp; Taxes'!D66</f>
        <v>848839.85789999994</v>
      </c>
      <c r="D42" s="96">
        <f>'3.Other Exp &amp; Taxes'!E66</f>
        <v>848839.85789999994</v>
      </c>
      <c r="E42" s="96">
        <f>'3.Other Exp &amp; Taxes'!F66</f>
        <v>848839.85789999994</v>
      </c>
      <c r="F42" s="96">
        <f>'3.Other Exp &amp; Taxes'!G66</f>
        <v>848839.85789999994</v>
      </c>
      <c r="G42" s="96">
        <f>'3.Other Exp &amp; Taxes'!H66</f>
        <v>848839.85789999994</v>
      </c>
      <c r="H42" s="96">
        <f>'3.Other Exp &amp; Taxes'!I66</f>
        <v>848839.85789999994</v>
      </c>
      <c r="J42" s="67">
        <f>J40+J41</f>
        <v>2352356.206735481</v>
      </c>
    </row>
    <row r="43" spans="1:10">
      <c r="A43" s="99" t="s">
        <v>138</v>
      </c>
      <c r="B43" s="96">
        <f>'3.Other Exp &amp; Taxes'!C86</f>
        <v>10000</v>
      </c>
      <c r="C43" s="96">
        <f>'3.Other Exp &amp; Taxes'!D86</f>
        <v>10000</v>
      </c>
      <c r="D43" s="96">
        <f>'3.Other Exp &amp; Taxes'!E86</f>
        <v>10000</v>
      </c>
      <c r="E43" s="96">
        <f>'3.Other Exp &amp; Taxes'!F86</f>
        <v>10000</v>
      </c>
      <c r="F43" s="96">
        <f>'3.Other Exp &amp; Taxes'!G86</f>
        <v>10000</v>
      </c>
      <c r="G43" s="96">
        <f>'3.Other Exp &amp; Taxes'!H86</f>
        <v>0</v>
      </c>
      <c r="H43" s="96">
        <f>'3.Other Exp &amp; Taxes'!I86</f>
        <v>0</v>
      </c>
    </row>
    <row r="44" spans="1:10">
      <c r="A44" s="95"/>
      <c r="B44" s="96"/>
      <c r="C44" s="96"/>
      <c r="D44" s="96"/>
      <c r="E44" s="96"/>
      <c r="F44" s="96"/>
      <c r="G44" s="96"/>
      <c r="H44" s="96"/>
    </row>
    <row r="45" spans="1:10">
      <c r="A45" s="97" t="s">
        <v>139</v>
      </c>
      <c r="B45" s="115">
        <f>B40-B42-B43</f>
        <v>2184816.5302499989</v>
      </c>
      <c r="C45" s="115">
        <f t="shared" ref="C45:H45" si="7">C40-C42-C43</f>
        <v>2828296.9461382525</v>
      </c>
      <c r="D45" s="115">
        <f t="shared" si="7"/>
        <v>3345514.3747654492</v>
      </c>
      <c r="E45" s="115">
        <f t="shared" si="7"/>
        <v>3914422.3042452754</v>
      </c>
      <c r="F45" s="115">
        <f t="shared" si="7"/>
        <v>4528927.0510914186</v>
      </c>
      <c r="G45" s="115">
        <f t="shared" si="7"/>
        <v>5203362.5547168115</v>
      </c>
      <c r="H45" s="115">
        <f t="shared" si="7"/>
        <v>5920772.1914322684</v>
      </c>
    </row>
    <row r="46" spans="1:10">
      <c r="A46" s="95"/>
      <c r="B46" s="96"/>
      <c r="C46" s="96"/>
      <c r="D46" s="96"/>
      <c r="E46" s="96"/>
      <c r="F46" s="96"/>
      <c r="G46" s="96"/>
      <c r="H46" s="96"/>
    </row>
    <row r="47" spans="1:10">
      <c r="A47" s="95" t="s">
        <v>24</v>
      </c>
      <c r="B47" s="96">
        <f>'8.Cash Flow '!C26+'8.Cash Flow '!C28</f>
        <v>691300.18141451781</v>
      </c>
      <c r="C47" s="96">
        <f>'8.Cash Flow '!D26+'8.Cash Flow '!D28</f>
        <v>539485.63828939828</v>
      </c>
      <c r="D47" s="96">
        <f>'8.Cash Flow '!E26+'8.Cash Flow '!E28</f>
        <v>286336.93353880284</v>
      </c>
      <c r="E47" s="96">
        <f>'8.Cash Flow '!F26+'8.Cash Flow '!F28</f>
        <v>3124.885768885666</v>
      </c>
      <c r="F47" s="96">
        <f>'8.Cash Flow '!G26+'8.Cash Flow '!G28</f>
        <v>-313764.01847707189</v>
      </c>
      <c r="G47" s="96">
        <f>'8.Cash Flow '!H26+'8.Cash Flow '!H28</f>
        <v>-668316.27760691394</v>
      </c>
      <c r="H47" s="96">
        <f>'8.Cash Flow '!I26+'8.Cash Flow '!I28</f>
        <v>-1064994.435990677</v>
      </c>
    </row>
    <row r="48" spans="1:10">
      <c r="A48" s="95"/>
      <c r="B48" s="96"/>
      <c r="C48" s="96"/>
      <c r="D48" s="96"/>
      <c r="E48" s="96"/>
      <c r="F48" s="96"/>
      <c r="G48" s="96"/>
      <c r="H48" s="96"/>
    </row>
    <row r="49" spans="1:9">
      <c r="A49" s="95" t="s">
        <v>25</v>
      </c>
      <c r="B49" s="96">
        <f>B45-B47</f>
        <v>1493516.3488354811</v>
      </c>
      <c r="C49" s="96">
        <f t="shared" ref="C49:H49" si="8">C45-C47</f>
        <v>2288811.307848854</v>
      </c>
      <c r="D49" s="96">
        <f t="shared" si="8"/>
        <v>3059177.4412266463</v>
      </c>
      <c r="E49" s="96">
        <f t="shared" si="8"/>
        <v>3911297.4184763897</v>
      </c>
      <c r="F49" s="96">
        <f t="shared" si="8"/>
        <v>4842691.0695684906</v>
      </c>
      <c r="G49" s="96">
        <f t="shared" si="8"/>
        <v>5871678.8323237253</v>
      </c>
      <c r="H49" s="96">
        <f t="shared" si="8"/>
        <v>6985766.6274229456</v>
      </c>
    </row>
    <row r="50" spans="1:9">
      <c r="A50" s="95" t="s">
        <v>26</v>
      </c>
      <c r="B50" s="96">
        <f>'3.Other Exp &amp; Taxes'!B99</f>
        <v>72051.968751225068</v>
      </c>
      <c r="C50" s="96">
        <f>'3.Other Exp &amp; Taxes'!C99</f>
        <v>353755.62644470215</v>
      </c>
      <c r="D50" s="96">
        <f>'3.Other Exp &amp; Taxes'!D99</f>
        <v>617684.41306042799</v>
      </c>
      <c r="E50" s="96">
        <f>'3.Other Exp &amp; Taxes'!E99</f>
        <v>893521.6798482365</v>
      </c>
      <c r="F50" s="96">
        <f>'3.Other Exp &amp; Taxes'!F99</f>
        <v>1182152.8090900267</v>
      </c>
      <c r="G50" s="96">
        <f>'3.Other Exp &amp; Taxes'!G99</f>
        <v>1489569.8570509146</v>
      </c>
      <c r="H50" s="96">
        <f>'3.Other Exp &amp; Taxes'!H99</f>
        <v>1813527.6951884842</v>
      </c>
    </row>
    <row r="51" spans="1:9">
      <c r="A51" s="97" t="s">
        <v>28</v>
      </c>
      <c r="B51" s="96">
        <f>B49-B50</f>
        <v>1421464.3800842559</v>
      </c>
      <c r="C51" s="96">
        <f>C49-C50</f>
        <v>1935055.681404152</v>
      </c>
      <c r="D51" s="96">
        <f>D49-D50</f>
        <v>2441493.0281662182</v>
      </c>
      <c r="E51" s="96">
        <f>E49-E50</f>
        <v>3017775.7386281532</v>
      </c>
      <c r="F51" s="96">
        <f>F49-F50</f>
        <v>3660538.260478464</v>
      </c>
      <c r="G51" s="96">
        <f t="shared" ref="G51:H51" si="9">G49-G50</f>
        <v>4382108.975272811</v>
      </c>
      <c r="H51" s="96">
        <f t="shared" si="9"/>
        <v>5172238.9322344614</v>
      </c>
    </row>
    <row r="52" spans="1:9">
      <c r="A52" s="94"/>
      <c r="B52" s="112"/>
      <c r="C52" s="112"/>
      <c r="D52" s="112"/>
      <c r="E52" s="112"/>
      <c r="F52" s="112"/>
      <c r="G52" s="112"/>
      <c r="H52" s="112"/>
    </row>
    <row r="53" spans="1:9">
      <c r="A53" s="94" t="s">
        <v>524</v>
      </c>
      <c r="B53" s="112">
        <f>B51</f>
        <v>1421464.3800842559</v>
      </c>
      <c r="C53" s="112">
        <f t="shared" ref="C53:H53" si="10">B53+C51</f>
        <v>3356520.0614884077</v>
      </c>
      <c r="D53" s="112">
        <f t="shared" si="10"/>
        <v>5798013.0896546263</v>
      </c>
      <c r="E53" s="112">
        <f t="shared" si="10"/>
        <v>8815788.8282827791</v>
      </c>
      <c r="F53" s="112">
        <f t="shared" si="10"/>
        <v>12476327.088761244</v>
      </c>
      <c r="G53" s="112">
        <f t="shared" si="10"/>
        <v>16858436.064034056</v>
      </c>
      <c r="H53" s="112">
        <f t="shared" si="10"/>
        <v>22030674.996268518</v>
      </c>
    </row>
    <row r="56" spans="1:9" ht="32.450000000000003" customHeight="1">
      <c r="A56" s="452" t="s">
        <v>420</v>
      </c>
      <c r="B56" s="452"/>
      <c r="C56" s="452"/>
      <c r="D56" s="452"/>
      <c r="E56" s="452"/>
      <c r="F56" s="452"/>
      <c r="G56" s="452"/>
      <c r="H56" s="452"/>
      <c r="I56" s="452"/>
    </row>
    <row r="58" spans="1:9">
      <c r="A58" s="291"/>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80" zoomScaleSheetLayoutView="80" workbookViewId="0">
      <selection activeCell="G49" sqref="G49"/>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7" width="12.42578125" style="53" bestFit="1" customWidth="1"/>
    <col min="8" max="8" width="14.285156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6"/>
      <c r="B1" s="436"/>
      <c r="C1" s="436"/>
      <c r="D1" s="436"/>
      <c r="E1" s="436"/>
      <c r="F1" s="436"/>
    </row>
    <row r="2" spans="1:18" ht="18.75">
      <c r="A2" s="453" t="s">
        <v>578</v>
      </c>
      <c r="B2" s="419"/>
      <c r="C2" s="419"/>
      <c r="D2" s="419"/>
      <c r="E2" s="419"/>
      <c r="F2" s="419"/>
      <c r="G2" s="419"/>
      <c r="H2" s="419"/>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253</v>
      </c>
      <c r="B8" s="129">
        <f>'8.Cash Flow '!C33</f>
        <v>1180232.3615256846</v>
      </c>
      <c r="C8" s="129">
        <f>'8.Cash Flow '!D33</f>
        <v>1584777.5448593758</v>
      </c>
      <c r="D8" s="129">
        <f>'8.Cash Flow '!E33</f>
        <v>2219267.2324996181</v>
      </c>
      <c r="E8" s="129">
        <f>'8.Cash Flow '!F33</f>
        <v>3121551.3582010083</v>
      </c>
      <c r="F8" s="129">
        <f>'8.Cash Flow '!G33</f>
        <v>4322411.8294898383</v>
      </c>
      <c r="G8" s="129">
        <f>'8.Cash Flow '!H33</f>
        <v>5850828.0155585222</v>
      </c>
      <c r="H8" s="129">
        <f>'8.Cash Flow '!I33</f>
        <v>7740921.3896911927</v>
      </c>
      <c r="K8" s="68"/>
      <c r="L8" s="68"/>
      <c r="M8" s="68"/>
      <c r="N8" s="68"/>
      <c r="O8" s="68"/>
      <c r="P8" s="68"/>
      <c r="Q8" s="68"/>
      <c r="R8" s="68"/>
    </row>
    <row r="9" spans="1:18">
      <c r="A9" s="130" t="s">
        <v>254</v>
      </c>
      <c r="B9" s="131"/>
      <c r="C9" s="131"/>
      <c r="D9" s="131"/>
      <c r="E9" s="131"/>
      <c r="F9" s="131"/>
      <c r="G9" s="131"/>
      <c r="H9" s="131"/>
      <c r="K9" s="68"/>
      <c r="L9" s="68"/>
      <c r="M9" s="68"/>
      <c r="N9" s="68"/>
      <c r="O9" s="68"/>
      <c r="P9" s="68"/>
      <c r="Q9" s="68"/>
      <c r="R9" s="68"/>
    </row>
    <row r="10" spans="1:18">
      <c r="A10" s="130" t="s">
        <v>617</v>
      </c>
      <c r="B10" s="131"/>
      <c r="C10" s="131"/>
      <c r="D10" s="131"/>
      <c r="E10" s="131"/>
      <c r="F10" s="131"/>
      <c r="G10" s="131"/>
      <c r="H10" s="131"/>
      <c r="K10" s="68"/>
      <c r="L10" s="68"/>
      <c r="M10" s="68"/>
      <c r="N10" s="68"/>
      <c r="O10" s="68"/>
      <c r="P10" s="68"/>
      <c r="Q10" s="68"/>
      <c r="R10" s="68"/>
    </row>
    <row r="11" spans="1:18">
      <c r="A11" s="126" t="s">
        <v>255</v>
      </c>
      <c r="B11" s="129">
        <f t="shared" ref="B11:H11" si="0">SUM(B8:B10)</f>
        <v>1180232.3615256846</v>
      </c>
      <c r="C11" s="129">
        <f t="shared" si="0"/>
        <v>1584777.5448593758</v>
      </c>
      <c r="D11" s="129">
        <f t="shared" si="0"/>
        <v>2219267.2324996181</v>
      </c>
      <c r="E11" s="129">
        <f t="shared" si="0"/>
        <v>3121551.3582010083</v>
      </c>
      <c r="F11" s="129">
        <f t="shared" si="0"/>
        <v>4322411.8294898383</v>
      </c>
      <c r="G11" s="129">
        <f t="shared" si="0"/>
        <v>5850828.0155585222</v>
      </c>
      <c r="H11" s="129">
        <f t="shared" si="0"/>
        <v>7740921.3896911927</v>
      </c>
    </row>
    <row r="12" spans="1:18">
      <c r="A12" s="126"/>
      <c r="B12" s="131"/>
      <c r="C12" s="131"/>
      <c r="D12" s="131"/>
      <c r="E12" s="131"/>
      <c r="F12" s="131"/>
      <c r="G12" s="131"/>
      <c r="H12" s="131"/>
      <c r="J12" s="68"/>
      <c r="K12" s="68"/>
      <c r="L12" s="68"/>
      <c r="M12" s="68"/>
      <c r="N12" s="68"/>
      <c r="O12" s="68"/>
      <c r="P12" s="68"/>
      <c r="Q12" s="68"/>
    </row>
    <row r="13" spans="1:18">
      <c r="A13" s="132" t="s">
        <v>256</v>
      </c>
      <c r="B13" s="131">
        <f>'3.Other Exp &amp; Taxes'!C65</f>
        <v>15603411</v>
      </c>
      <c r="C13" s="131">
        <f>'3.Other Exp &amp; Taxes'!D65</f>
        <v>14754571.142099999</v>
      </c>
      <c r="D13" s="131">
        <f>'3.Other Exp &amp; Taxes'!E65</f>
        <v>13905731.284200002</v>
      </c>
      <c r="E13" s="131">
        <f>'3.Other Exp &amp; Taxes'!F65</f>
        <v>13056891.4263</v>
      </c>
      <c r="F13" s="131">
        <f>'3.Other Exp &amp; Taxes'!G65</f>
        <v>12208051.568399999</v>
      </c>
      <c r="G13" s="131">
        <f>'3.Other Exp &amp; Taxes'!H65</f>
        <v>11359211.7105</v>
      </c>
      <c r="H13" s="131">
        <f>'3.Other Exp &amp; Taxes'!I65</f>
        <v>10510371.852600001</v>
      </c>
    </row>
    <row r="14" spans="1:18">
      <c r="A14" s="132" t="s">
        <v>257</v>
      </c>
      <c r="B14" s="131">
        <f>'3.Other Exp &amp; Taxes'!C66</f>
        <v>848839.85789999994</v>
      </c>
      <c r="C14" s="131">
        <f>'3.Other Exp &amp; Taxes'!D66</f>
        <v>848839.85789999994</v>
      </c>
      <c r="D14" s="131">
        <f>'3.Other Exp &amp; Taxes'!E66</f>
        <v>848839.85789999994</v>
      </c>
      <c r="E14" s="131">
        <f>'3.Other Exp &amp; Taxes'!F66</f>
        <v>848839.85789999994</v>
      </c>
      <c r="F14" s="131">
        <f>'3.Other Exp &amp; Taxes'!G66</f>
        <v>848839.85789999994</v>
      </c>
      <c r="G14" s="131">
        <f>'3.Other Exp &amp; Taxes'!H66</f>
        <v>848839.85789999994</v>
      </c>
      <c r="H14" s="131">
        <f>'3.Other Exp &amp; Taxes'!I66</f>
        <v>848839.85789999994</v>
      </c>
      <c r="K14" s="68"/>
      <c r="L14" s="68"/>
      <c r="M14" s="68"/>
      <c r="N14" s="68"/>
      <c r="O14" s="68"/>
      <c r="P14" s="68"/>
      <c r="Q14" s="68"/>
    </row>
    <row r="15" spans="1:18" s="55" customFormat="1">
      <c r="A15" s="126" t="s">
        <v>202</v>
      </c>
      <c r="B15" s="129">
        <f t="shared" ref="B15:H15" si="1">B13-B14</f>
        <v>14754571.142100001</v>
      </c>
      <c r="C15" s="129">
        <f t="shared" si="1"/>
        <v>13905731.2842</v>
      </c>
      <c r="D15" s="129">
        <f t="shared" si="1"/>
        <v>13056891.426300002</v>
      </c>
      <c r="E15" s="129">
        <f t="shared" si="1"/>
        <v>12208051.568400001</v>
      </c>
      <c r="F15" s="129">
        <f t="shared" si="1"/>
        <v>11359211.7105</v>
      </c>
      <c r="G15" s="129">
        <f t="shared" si="1"/>
        <v>10510371.852600001</v>
      </c>
      <c r="H15" s="129">
        <f t="shared" si="1"/>
        <v>9661531.9947000016</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526</v>
      </c>
      <c r="B18" s="129">
        <f>'8.Cash Flow '!C20-'6.Cons Profit &amp; Loss'!B43</f>
        <v>40000</v>
      </c>
      <c r="C18" s="129">
        <f>B18-'6.Cons Profit &amp; Loss'!C43</f>
        <v>30000</v>
      </c>
      <c r="D18" s="129">
        <f>C18-'6.Cons Profit &amp; Loss'!D43</f>
        <v>20000</v>
      </c>
      <c r="E18" s="129">
        <f>D18-'6.Cons Profit &amp; Loss'!E43</f>
        <v>10000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259</v>
      </c>
      <c r="B20" s="134">
        <f t="shared" ref="B20:H20" si="2">B11+B15+B17+B18</f>
        <v>15974803.503625685</v>
      </c>
      <c r="C20" s="134">
        <f t="shared" si="2"/>
        <v>15520508.829059375</v>
      </c>
      <c r="D20" s="134">
        <f t="shared" si="2"/>
        <v>15296158.65879962</v>
      </c>
      <c r="E20" s="134">
        <f t="shared" si="2"/>
        <v>15339602.926601009</v>
      </c>
      <c r="F20" s="134">
        <f t="shared" si="2"/>
        <v>15681623.539989838</v>
      </c>
      <c r="G20" s="134">
        <f t="shared" si="2"/>
        <v>16361199.868158523</v>
      </c>
      <c r="H20" s="134">
        <f t="shared" si="2"/>
        <v>17402453.384391196</v>
      </c>
    </row>
    <row r="21" spans="1:8">
      <c r="A21" s="121"/>
      <c r="B21" s="135"/>
      <c r="C21" s="135"/>
      <c r="D21" s="135"/>
      <c r="E21" s="135"/>
      <c r="F21" s="135"/>
      <c r="G21" s="135"/>
      <c r="H21" s="135"/>
    </row>
    <row r="22" spans="1:8">
      <c r="A22" s="124" t="s">
        <v>260</v>
      </c>
      <c r="B22" s="136"/>
      <c r="C22" s="136"/>
      <c r="D22" s="136"/>
      <c r="E22" s="136"/>
      <c r="F22" s="136"/>
      <c r="G22" s="136"/>
      <c r="H22" s="136"/>
    </row>
    <row r="23" spans="1:8">
      <c r="A23" s="126" t="s">
        <v>261</v>
      </c>
      <c r="B23" s="136"/>
      <c r="C23" s="136"/>
      <c r="D23" s="136"/>
      <c r="E23" s="136"/>
      <c r="F23" s="136"/>
      <c r="G23" s="136"/>
      <c r="H23" s="136"/>
    </row>
    <row r="24" spans="1:8">
      <c r="A24" s="130" t="s">
        <v>262</v>
      </c>
      <c r="B24" s="129"/>
      <c r="C24" s="129"/>
      <c r="D24" s="129"/>
      <c r="E24" s="129"/>
      <c r="F24" s="129"/>
      <c r="G24" s="129"/>
      <c r="H24" s="129"/>
    </row>
    <row r="25" spans="1:8">
      <c r="A25" s="130" t="s">
        <v>263</v>
      </c>
      <c r="B25" s="135"/>
      <c r="C25" s="135"/>
      <c r="D25" s="135"/>
      <c r="E25" s="135"/>
      <c r="F25" s="135"/>
      <c r="G25" s="135"/>
      <c r="H25" s="135"/>
    </row>
    <row r="26" spans="1:8" s="54" customFormat="1">
      <c r="A26" s="130" t="s">
        <v>264</v>
      </c>
      <c r="B26" s="129"/>
      <c r="C26" s="129"/>
      <c r="D26" s="129"/>
      <c r="E26" s="129"/>
      <c r="F26" s="129"/>
      <c r="G26" s="129"/>
      <c r="H26" s="129"/>
    </row>
    <row r="27" spans="1:8" s="54" customFormat="1">
      <c r="A27" s="126" t="s">
        <v>265</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266</v>
      </c>
      <c r="B28" s="134">
        <f>'4.TL repayment sch'!G21</f>
        <v>4361121.9735414227</v>
      </c>
      <c r="C28" s="134">
        <f>'4.TL repayment sch'!G33</f>
        <v>1971771.6175709637</v>
      </c>
      <c r="D28" s="134">
        <f>'4.TL repayment sch'!G45</f>
        <v>-694071.58085501613</v>
      </c>
      <c r="E28" s="134">
        <f>'4.TL repayment sch'!G57</f>
        <v>-3668403.0516817765</v>
      </c>
      <c r="F28" s="134">
        <f>'4.TL repayment sch'!G69</f>
        <v>-6986920.698771406</v>
      </c>
      <c r="G28" s="134">
        <f>'4.TL repayment sch'!G81</f>
        <v>-10689453.345875526</v>
      </c>
      <c r="H28" s="134">
        <f>'[1]Term Loan'!J72+'[1]Term Loan'!S72</f>
        <v>0</v>
      </c>
    </row>
    <row r="29" spans="1:8" s="54" customFormat="1">
      <c r="A29" s="126" t="s">
        <v>267</v>
      </c>
      <c r="B29" s="134"/>
      <c r="C29" s="134"/>
      <c r="D29" s="134"/>
      <c r="E29" s="134"/>
      <c r="F29" s="134"/>
      <c r="G29" s="134"/>
      <c r="H29" s="134"/>
    </row>
    <row r="30" spans="1:8" s="54" customFormat="1">
      <c r="A30" s="126"/>
      <c r="B30" s="137"/>
      <c r="C30" s="137"/>
      <c r="D30" s="137"/>
      <c r="E30" s="137"/>
      <c r="F30" s="137"/>
      <c r="G30" s="137"/>
      <c r="H30" s="137"/>
    </row>
    <row r="31" spans="1:8">
      <c r="A31" s="133" t="s">
        <v>268</v>
      </c>
      <c r="B31" s="134">
        <f t="shared" ref="B31:H31" si="4">SUM(B27:B29)</f>
        <v>4361121.9735414227</v>
      </c>
      <c r="C31" s="134">
        <f t="shared" si="4"/>
        <v>1971771.6175709637</v>
      </c>
      <c r="D31" s="134">
        <f t="shared" si="4"/>
        <v>-694071.58085501613</v>
      </c>
      <c r="E31" s="134">
        <f t="shared" si="4"/>
        <v>-3668403.0516817765</v>
      </c>
      <c r="F31" s="134">
        <f t="shared" si="4"/>
        <v>-6986920.698771406</v>
      </c>
      <c r="G31" s="134">
        <f t="shared" si="4"/>
        <v>-10689453.345875526</v>
      </c>
      <c r="H31" s="134">
        <f t="shared" si="4"/>
        <v>0</v>
      </c>
    </row>
    <row r="32" spans="1:8">
      <c r="A32" s="121"/>
      <c r="B32" s="138"/>
      <c r="C32" s="138"/>
      <c r="D32" s="138"/>
      <c r="E32" s="138"/>
      <c r="F32" s="138"/>
      <c r="G32" s="138"/>
      <c r="H32" s="138"/>
    </row>
    <row r="33" spans="1:8">
      <c r="A33" s="132" t="s">
        <v>269</v>
      </c>
      <c r="B33" s="131">
        <f>'1.Project Cost and MOF'!E21</f>
        <v>800170.54999999888</v>
      </c>
      <c r="C33" s="131">
        <f>B33</f>
        <v>800170.54999999888</v>
      </c>
      <c r="D33" s="131">
        <f t="shared" ref="D33:H34" si="5">C33</f>
        <v>800170.54999999888</v>
      </c>
      <c r="E33" s="131">
        <f t="shared" si="5"/>
        <v>800170.54999999888</v>
      </c>
      <c r="F33" s="131">
        <f t="shared" si="5"/>
        <v>800170.54999999888</v>
      </c>
      <c r="G33" s="131">
        <f t="shared" si="5"/>
        <v>800170.54999999888</v>
      </c>
      <c r="H33" s="131">
        <f t="shared" si="5"/>
        <v>800170.54999999888</v>
      </c>
    </row>
    <row r="34" spans="1:8">
      <c r="A34" s="132" t="s">
        <v>527</v>
      </c>
      <c r="B34" s="131">
        <f>'1.Project Cost and MOF'!E19</f>
        <v>9392046.6000000015</v>
      </c>
      <c r="C34" s="131">
        <f>B34</f>
        <v>9392046.6000000015</v>
      </c>
      <c r="D34" s="131">
        <f t="shared" si="5"/>
        <v>9392046.6000000015</v>
      </c>
      <c r="E34" s="131">
        <f t="shared" si="5"/>
        <v>9392046.6000000015</v>
      </c>
      <c r="F34" s="131">
        <f t="shared" si="5"/>
        <v>9392046.6000000015</v>
      </c>
      <c r="G34" s="131">
        <f t="shared" si="5"/>
        <v>9392046.6000000015</v>
      </c>
      <c r="H34" s="131">
        <f t="shared" si="5"/>
        <v>9392046.6000000015</v>
      </c>
    </row>
    <row r="35" spans="1:8">
      <c r="A35" s="126" t="s">
        <v>270</v>
      </c>
      <c r="B35" s="131"/>
      <c r="C35" s="131"/>
      <c r="D35" s="131"/>
      <c r="E35" s="131"/>
      <c r="F35" s="131"/>
      <c r="G35" s="131"/>
      <c r="H35" s="131"/>
    </row>
    <row r="36" spans="1:8">
      <c r="A36" s="132" t="s">
        <v>271</v>
      </c>
      <c r="B36" s="131">
        <v>0</v>
      </c>
      <c r="C36" s="131">
        <f t="shared" ref="C36:H36" si="6">B39</f>
        <v>1421464.3800842559</v>
      </c>
      <c r="D36" s="131">
        <f t="shared" si="6"/>
        <v>3356520.0614884077</v>
      </c>
      <c r="E36" s="131">
        <f t="shared" si="6"/>
        <v>5798013.0896546263</v>
      </c>
      <c r="F36" s="131">
        <f t="shared" si="6"/>
        <v>8815788.8282827791</v>
      </c>
      <c r="G36" s="131">
        <f t="shared" si="6"/>
        <v>12476327.088761244</v>
      </c>
      <c r="H36" s="131">
        <f t="shared" si="6"/>
        <v>16858436.064034056</v>
      </c>
    </row>
    <row r="37" spans="1:8">
      <c r="A37" s="132" t="s">
        <v>272</v>
      </c>
      <c r="B37" s="131">
        <f>'6.Cons Profit &amp; Loss'!B53</f>
        <v>1421464.3800842559</v>
      </c>
      <c r="C37" s="131">
        <f>'6.Cons Profit &amp; Loss'!C51</f>
        <v>1935055.681404152</v>
      </c>
      <c r="D37" s="131">
        <f>'6.Cons Profit &amp; Loss'!D51</f>
        <v>2441493.0281662182</v>
      </c>
      <c r="E37" s="131">
        <f>'6.Cons Profit &amp; Loss'!E51</f>
        <v>3017775.7386281532</v>
      </c>
      <c r="F37" s="131">
        <f>'6.Cons Profit &amp; Loss'!F51</f>
        <v>3660538.260478464</v>
      </c>
      <c r="G37" s="131">
        <f>'6.Cons Profit &amp; Loss'!G51</f>
        <v>4382108.975272811</v>
      </c>
      <c r="H37" s="131">
        <f>'6.Cons Profit &amp; Loss'!H51</f>
        <v>5172238.9322344614</v>
      </c>
    </row>
    <row r="38" spans="1:8">
      <c r="A38" s="132" t="s">
        <v>273</v>
      </c>
      <c r="B38" s="131"/>
      <c r="C38" s="131"/>
      <c r="D38" s="131"/>
      <c r="E38" s="131"/>
      <c r="F38" s="131"/>
      <c r="G38" s="131"/>
      <c r="H38" s="131"/>
    </row>
    <row r="39" spans="1:8">
      <c r="A39" s="132" t="s">
        <v>274</v>
      </c>
      <c r="B39" s="131">
        <f t="shared" ref="B39:H39" si="7">B36+B37-B38</f>
        <v>1421464.3800842559</v>
      </c>
      <c r="C39" s="131">
        <f t="shared" si="7"/>
        <v>3356520.0614884077</v>
      </c>
      <c r="D39" s="131">
        <f t="shared" si="7"/>
        <v>5798013.0896546263</v>
      </c>
      <c r="E39" s="131">
        <f t="shared" si="7"/>
        <v>8815788.8282827791</v>
      </c>
      <c r="F39" s="131">
        <f t="shared" si="7"/>
        <v>12476327.088761244</v>
      </c>
      <c r="G39" s="131">
        <f t="shared" si="7"/>
        <v>16858436.064034056</v>
      </c>
      <c r="H39" s="131">
        <f t="shared" si="7"/>
        <v>22030674.996268518</v>
      </c>
    </row>
    <row r="40" spans="1:8">
      <c r="A40" s="132"/>
      <c r="B40" s="136"/>
      <c r="C40" s="136"/>
      <c r="D40" s="136"/>
      <c r="E40" s="136"/>
      <c r="F40" s="136"/>
      <c r="G40" s="136"/>
      <c r="H40" s="136"/>
    </row>
    <row r="41" spans="1:8">
      <c r="A41" s="139" t="s">
        <v>275</v>
      </c>
      <c r="B41" s="140">
        <f t="shared" ref="B41:H41" si="8">B33+B39+B34</f>
        <v>11613681.530084256</v>
      </c>
      <c r="C41" s="140">
        <f t="shared" si="8"/>
        <v>13548737.211488407</v>
      </c>
      <c r="D41" s="140">
        <f t="shared" si="8"/>
        <v>15990230.239654627</v>
      </c>
      <c r="E41" s="140">
        <f t="shared" si="8"/>
        <v>19008005.978282779</v>
      </c>
      <c r="F41" s="140">
        <f t="shared" si="8"/>
        <v>22668544.238761246</v>
      </c>
      <c r="G41" s="140">
        <f t="shared" si="8"/>
        <v>27050653.214034058</v>
      </c>
      <c r="H41" s="140">
        <f t="shared" si="8"/>
        <v>32222892.146268517</v>
      </c>
    </row>
    <row r="42" spans="1:8">
      <c r="A42" s="121"/>
      <c r="B42" s="131"/>
      <c r="C42" s="131"/>
      <c r="D42" s="131"/>
      <c r="E42" s="131"/>
      <c r="F42" s="131"/>
      <c r="G42" s="131"/>
      <c r="H42" s="131"/>
    </row>
    <row r="43" spans="1:8">
      <c r="A43" s="133" t="s">
        <v>276</v>
      </c>
      <c r="B43" s="134">
        <f t="shared" ref="B43:H43" si="9">B31+B41</f>
        <v>15974803.50362568</v>
      </c>
      <c r="C43" s="134">
        <f t="shared" si="9"/>
        <v>15520508.82905937</v>
      </c>
      <c r="D43" s="134">
        <f t="shared" si="9"/>
        <v>15296158.658799611</v>
      </c>
      <c r="E43" s="134">
        <f t="shared" si="9"/>
        <v>15339602.926601004</v>
      </c>
      <c r="F43" s="134">
        <f t="shared" si="9"/>
        <v>15681623.53998984</v>
      </c>
      <c r="G43" s="134">
        <f t="shared" si="9"/>
        <v>16361199.868158532</v>
      </c>
      <c r="H43" s="134">
        <f t="shared" si="9"/>
        <v>32222892.146268517</v>
      </c>
    </row>
    <row r="44" spans="1:8">
      <c r="A44" s="121"/>
      <c r="B44" s="141"/>
      <c r="C44" s="141"/>
      <c r="D44" s="141"/>
      <c r="E44" s="141"/>
      <c r="F44" s="141"/>
      <c r="G44" s="141"/>
      <c r="H44" s="141"/>
    </row>
    <row r="45" spans="1:8">
      <c r="A45" s="142" t="s">
        <v>277</v>
      </c>
      <c r="B45" s="143"/>
      <c r="C45" s="143"/>
      <c r="D45" s="143"/>
      <c r="E45" s="143"/>
      <c r="F45" s="143"/>
      <c r="G45" s="143"/>
      <c r="H45" s="143"/>
    </row>
    <row r="46" spans="1:8">
      <c r="A46" s="144" t="s">
        <v>278</v>
      </c>
      <c r="B46" s="145">
        <f t="shared" ref="B46:H46" si="10">B43-B20</f>
        <v>0</v>
      </c>
      <c r="C46" s="145">
        <f t="shared" si="10"/>
        <v>0</v>
      </c>
      <c r="D46" s="145">
        <f t="shared" si="10"/>
        <v>0</v>
      </c>
      <c r="E46" s="145">
        <f t="shared" si="10"/>
        <v>0</v>
      </c>
      <c r="F46" s="145">
        <f t="shared" si="10"/>
        <v>0</v>
      </c>
      <c r="G46" s="145">
        <f t="shared" si="10"/>
        <v>0</v>
      </c>
      <c r="H46" s="145">
        <f t="shared" si="10"/>
        <v>14820438.761877321</v>
      </c>
    </row>
    <row r="47" spans="1:8">
      <c r="A47" s="144"/>
      <c r="B47" s="145"/>
      <c r="C47" s="145"/>
      <c r="D47" s="145"/>
      <c r="E47" s="145"/>
      <c r="F47" s="145"/>
      <c r="G47" s="145"/>
      <c r="H47" s="145"/>
    </row>
    <row r="48" spans="1:8" ht="15.75" thickBot="1">
      <c r="A48" s="146"/>
      <c r="B48" s="147"/>
      <c r="C48" s="147"/>
      <c r="D48" s="147"/>
      <c r="E48" s="147"/>
      <c r="F48" s="147"/>
      <c r="G48" s="147"/>
      <c r="H48" s="147"/>
    </row>
    <row r="49" spans="1:9">
      <c r="B49" s="56"/>
      <c r="C49" s="56"/>
      <c r="D49" s="56"/>
      <c r="E49" s="56"/>
      <c r="F49" s="56"/>
      <c r="G49" s="56"/>
      <c r="H49" s="56"/>
    </row>
    <row r="50" spans="1:9" ht="39.6" customHeight="1">
      <c r="A50" s="454" t="s">
        <v>421</v>
      </c>
      <c r="B50" s="455"/>
      <c r="C50" s="455"/>
      <c r="D50" s="455"/>
      <c r="E50" s="455"/>
      <c r="F50" s="455"/>
      <c r="G50" s="455"/>
      <c r="H50" s="455"/>
      <c r="I50" s="455"/>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zoomScale="80" zoomScaleSheetLayoutView="80" workbookViewId="0">
      <selection activeCell="C7" sqref="C7"/>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36"/>
      <c r="B1" s="436"/>
      <c r="C1" s="436"/>
      <c r="D1" s="436"/>
      <c r="E1" s="436"/>
      <c r="F1" s="436"/>
      <c r="G1" s="436"/>
    </row>
    <row r="2" spans="1:10" ht="18.75">
      <c r="A2" s="419" t="s">
        <v>579</v>
      </c>
      <c r="B2" s="419"/>
      <c r="C2" s="419"/>
      <c r="D2" s="419"/>
      <c r="E2" s="419"/>
      <c r="F2" s="419"/>
      <c r="G2" s="419"/>
      <c r="H2" s="419"/>
      <c r="I2" s="419"/>
      <c r="J2" s="84"/>
    </row>
    <row r="4" spans="1:10">
      <c r="A4" s="58" t="s">
        <v>234</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374</v>
      </c>
      <c r="C6" s="41">
        <f>'6.Cons Profit &amp; Loss'!B15</f>
        <v>23266566.965</v>
      </c>
      <c r="D6" s="41">
        <f>'6.Cons Profit &amp; Loss'!C15</f>
        <v>27151675.334825005</v>
      </c>
      <c r="E6" s="41">
        <f>'6.Cons Profit &amp; Loss'!D15</f>
        <v>30470759.711803753</v>
      </c>
      <c r="F6" s="41">
        <f>'6.Cons Profit &amp; Loss'!E15</f>
        <v>34063059.93814332</v>
      </c>
      <c r="G6" s="41">
        <f>'6.Cons Profit &amp; Loss'!F15</f>
        <v>37937630.197837338</v>
      </c>
      <c r="H6" s="41">
        <f>'6.Cons Profit &amp; Loss'!G15</f>
        <v>42114913.271155395</v>
      </c>
      <c r="I6" s="41">
        <f>'6.Cons Profit &amp; Loss'!H15</f>
        <v>46615080.576310664</v>
      </c>
    </row>
    <row r="7" spans="1:10">
      <c r="A7" s="40">
        <v>2</v>
      </c>
      <c r="B7" s="40" t="s">
        <v>235</v>
      </c>
      <c r="C7" s="41">
        <f>'1.Project Cost and MOF'!E21</f>
        <v>800170.54999999888</v>
      </c>
      <c r="D7" s="41"/>
      <c r="E7" s="41"/>
      <c r="F7" s="41"/>
      <c r="G7" s="41"/>
      <c r="H7" s="41"/>
      <c r="I7" s="41"/>
    </row>
    <row r="8" spans="1:10">
      <c r="A8" s="40"/>
      <c r="B8" s="40" t="s">
        <v>296</v>
      </c>
      <c r="C8" s="41"/>
      <c r="D8" s="41"/>
      <c r="E8" s="41"/>
      <c r="F8" s="41"/>
      <c r="G8" s="41"/>
      <c r="H8" s="41"/>
      <c r="I8" s="41"/>
    </row>
    <row r="9" spans="1:10">
      <c r="A9" s="40">
        <v>3</v>
      </c>
      <c r="B9" s="40" t="str">
        <f>'7.Balance Sheet'!A34</f>
        <v>Smart Grant -in-Aid</v>
      </c>
      <c r="C9" s="41">
        <f>'1.Project Cost and MOF'!E19</f>
        <v>9392046.6000000015</v>
      </c>
      <c r="D9" s="41"/>
      <c r="E9" s="41"/>
      <c r="F9" s="41"/>
      <c r="G9" s="41"/>
      <c r="H9" s="41"/>
      <c r="I9" s="41"/>
    </row>
    <row r="10" spans="1:10">
      <c r="A10" s="40">
        <v>4</v>
      </c>
      <c r="B10" s="40" t="s">
        <v>236</v>
      </c>
      <c r="C10" s="41">
        <f>'1.Project Cost and MOF'!E20</f>
        <v>5461193.8499999996</v>
      </c>
      <c r="D10" s="41"/>
      <c r="E10" s="41"/>
      <c r="F10" s="41"/>
      <c r="G10" s="41"/>
      <c r="H10" s="41"/>
      <c r="I10" s="41"/>
    </row>
    <row r="11" spans="1:10">
      <c r="A11" s="40">
        <v>5</v>
      </c>
      <c r="B11" s="40" t="s">
        <v>237</v>
      </c>
      <c r="C11" s="41">
        <f>'5.Closing Stock &amp; W Capital'!E55*75%</f>
        <v>962587.28047972592</v>
      </c>
      <c r="D11" s="41">
        <f>'5.Closing Stock &amp; W Capital'!F55</f>
        <v>1482034.5777400113</v>
      </c>
      <c r="E11" s="41">
        <f>'5.Closing Stock &amp; W Capital'!G55</f>
        <v>1676569.0586143869</v>
      </c>
      <c r="F11" s="41">
        <f>'5.Closing Stock &amp; W Capital'!H55</f>
        <v>1887204.2638715766</v>
      </c>
      <c r="G11" s="41">
        <f>'5.Closing Stock &amp; W Capital'!I55</f>
        <v>2114681.5306791821</v>
      </c>
      <c r="H11" s="41">
        <f>'5.Closing Stock &amp; W Capital'!J55</f>
        <v>2360204.3713845816</v>
      </c>
      <c r="I11" s="41">
        <f>'5.Closing Stock &amp; W Capital'!K55</f>
        <v>2624992.7923338232</v>
      </c>
    </row>
    <row r="12" spans="1:10">
      <c r="A12" s="40"/>
      <c r="B12" s="40" t="s">
        <v>238</v>
      </c>
      <c r="C12" s="43">
        <f t="shared" ref="C12:I12" si="0">SUM(C6:C11)</f>
        <v>39882565.245479733</v>
      </c>
      <c r="D12" s="43">
        <f t="shared" si="0"/>
        <v>28633709.912565015</v>
      </c>
      <c r="E12" s="43">
        <f t="shared" si="0"/>
        <v>32147328.770418141</v>
      </c>
      <c r="F12" s="43">
        <f t="shared" si="0"/>
        <v>35950264.202014893</v>
      </c>
      <c r="G12" s="43">
        <f t="shared" si="0"/>
        <v>40052311.728516519</v>
      </c>
      <c r="H12" s="43">
        <f t="shared" si="0"/>
        <v>44475117.642539978</v>
      </c>
      <c r="I12" s="43">
        <f t="shared" si="0"/>
        <v>49240073.368644491</v>
      </c>
    </row>
    <row r="13" spans="1:10">
      <c r="A13" s="456" t="s">
        <v>239</v>
      </c>
      <c r="B13" s="456"/>
      <c r="C13" s="44"/>
      <c r="D13" s="44"/>
      <c r="E13" s="44"/>
      <c r="F13" s="44"/>
      <c r="G13" s="44"/>
      <c r="H13" s="44"/>
      <c r="I13" s="44"/>
    </row>
    <row r="14" spans="1:10">
      <c r="A14" s="40">
        <v>1</v>
      </c>
      <c r="B14" s="40" t="s">
        <v>240</v>
      </c>
      <c r="C14" s="44"/>
      <c r="D14" s="44"/>
      <c r="E14" s="44"/>
      <c r="F14" s="44"/>
      <c r="G14" s="44"/>
      <c r="H14" s="44"/>
      <c r="I14" s="44"/>
    </row>
    <row r="15" spans="1:10">
      <c r="A15" s="45" t="s">
        <v>241</v>
      </c>
      <c r="B15" s="44" t="str">
        <f>'[1]Total Cost of Project'!C3</f>
        <v>Land and Building</v>
      </c>
      <c r="C15" s="46">
        <f>'1.Project Cost and MOF'!D5</f>
        <v>5246000</v>
      </c>
      <c r="D15" s="46"/>
      <c r="E15" s="46"/>
      <c r="F15" s="46"/>
      <c r="G15" s="46"/>
      <c r="H15" s="46"/>
      <c r="I15" s="46"/>
    </row>
    <row r="16" spans="1:10">
      <c r="A16" s="45" t="s">
        <v>242</v>
      </c>
      <c r="B16" s="47" t="str">
        <f>'[1]Total Cost of Project'!C4</f>
        <v>Machinery and Equipment</v>
      </c>
      <c r="C16" s="46">
        <f>'1.Project Cost and MOF'!D6</f>
        <v>9623963</v>
      </c>
      <c r="D16" s="46"/>
      <c r="E16" s="46"/>
      <c r="F16" s="46"/>
      <c r="G16" s="46"/>
      <c r="H16" s="46"/>
      <c r="I16" s="46"/>
    </row>
    <row r="17" spans="1:9">
      <c r="A17" s="45" t="s">
        <v>279</v>
      </c>
      <c r="B17" s="47" t="s">
        <v>338</v>
      </c>
      <c r="C17" s="46">
        <f>'1.Project Cost and MOF'!D7</f>
        <v>654468</v>
      </c>
      <c r="D17" s="46"/>
      <c r="E17" s="46"/>
      <c r="F17" s="46"/>
      <c r="G17" s="46"/>
      <c r="H17" s="46"/>
      <c r="I17" s="46"/>
    </row>
    <row r="18" spans="1:9">
      <c r="A18" s="45" t="s">
        <v>281</v>
      </c>
      <c r="B18" s="47" t="s">
        <v>340</v>
      </c>
      <c r="C18" s="46">
        <f>'1.Project Cost and MOF'!D8</f>
        <v>78980</v>
      </c>
      <c r="D18" s="46"/>
      <c r="E18" s="46"/>
      <c r="F18" s="46"/>
      <c r="G18" s="46"/>
      <c r="H18" s="46"/>
      <c r="I18" s="46"/>
    </row>
    <row r="19" spans="1:9">
      <c r="A19" s="45" t="s">
        <v>341</v>
      </c>
      <c r="B19" s="47" t="s">
        <v>280</v>
      </c>
      <c r="C19" s="46">
        <f>'1.Project Cost and MOF'!D9</f>
        <v>0</v>
      </c>
      <c r="D19" s="41"/>
      <c r="E19" s="41"/>
      <c r="F19" s="41"/>
      <c r="G19" s="41"/>
      <c r="H19" s="41"/>
      <c r="I19" s="41"/>
    </row>
    <row r="20" spans="1:9">
      <c r="A20" s="45" t="s">
        <v>342</v>
      </c>
      <c r="B20" s="47" t="s">
        <v>282</v>
      </c>
      <c r="C20" s="46">
        <f>'1.Project Cost and MOF'!D10</f>
        <v>50000</v>
      </c>
      <c r="D20" s="41"/>
      <c r="E20" s="41"/>
      <c r="F20" s="41"/>
      <c r="G20" s="41"/>
      <c r="H20" s="41"/>
      <c r="I20" s="41"/>
    </row>
    <row r="21" spans="1:9">
      <c r="A21" s="40">
        <v>2</v>
      </c>
      <c r="B21" s="40" t="s">
        <v>243</v>
      </c>
      <c r="C21" s="44"/>
      <c r="D21" s="44"/>
      <c r="E21" s="44"/>
      <c r="F21" s="44"/>
      <c r="G21" s="44"/>
      <c r="H21" s="44"/>
      <c r="I21" s="44"/>
    </row>
    <row r="22" spans="1:9">
      <c r="A22" s="45" t="s">
        <v>241</v>
      </c>
      <c r="B22" s="44" t="s">
        <v>316</v>
      </c>
      <c r="C22" s="73">
        <f>'6.Cons Profit &amp; Loss'!B25</f>
        <v>18650910.576850001</v>
      </c>
      <c r="D22" s="73">
        <f>'6.Cons Profit &amp; Loss'!C25</f>
        <v>21813938.530786753</v>
      </c>
      <c r="E22" s="73">
        <f>'6.Cons Profit &amp; Loss'!D25</f>
        <v>24533275.479138304</v>
      </c>
      <c r="F22" s="73">
        <f>'6.Cons Profit &amp; Loss'!E25</f>
        <v>27470011.275998045</v>
      </c>
      <c r="G22" s="73">
        <f>'6.Cons Profit &amp; Loss'!F25</f>
        <v>30639087.46384592</v>
      </c>
      <c r="H22" s="73">
        <f>'6.Cons Profit &amp; Loss'!G25</f>
        <v>34056396.242288582</v>
      </c>
      <c r="I22" s="73">
        <f>'6.Cons Profit &amp; Loss'!H25</f>
        <v>37738838.179915898</v>
      </c>
    </row>
    <row r="23" spans="1:9">
      <c r="A23" s="45" t="s">
        <v>242</v>
      </c>
      <c r="B23" s="44" t="s">
        <v>314</v>
      </c>
      <c r="C23" s="41">
        <f>'6.Cons Profit &amp; Loss'!B36</f>
        <v>1572000</v>
      </c>
      <c r="D23" s="41">
        <f>'6.Cons Profit &amp; Loss'!C36</f>
        <v>1650600</v>
      </c>
      <c r="E23" s="41">
        <f>'6.Cons Profit &amp; Loss'!D36</f>
        <v>1733130</v>
      </c>
      <c r="F23" s="41">
        <f>'6.Cons Profit &amp; Loss'!E36</f>
        <v>1819786.5000000005</v>
      </c>
      <c r="G23" s="41">
        <f>'6.Cons Profit &amp; Loss'!F36</f>
        <v>1910775.8250000004</v>
      </c>
      <c r="H23" s="41">
        <f>'6.Cons Profit &amp; Loss'!G36</f>
        <v>2006314.6162500004</v>
      </c>
      <c r="I23" s="41">
        <f>'6.Cons Profit &amp; Loss'!H36</f>
        <v>2106630.3470625007</v>
      </c>
    </row>
    <row r="24" spans="1:9">
      <c r="A24" s="48">
        <v>3</v>
      </c>
      <c r="B24" s="40" t="s">
        <v>525</v>
      </c>
      <c r="C24" s="41"/>
      <c r="D24" s="41"/>
      <c r="E24" s="41"/>
      <c r="F24" s="41"/>
      <c r="G24" s="41"/>
      <c r="H24" s="41"/>
      <c r="I24" s="41"/>
    </row>
    <row r="25" spans="1:9">
      <c r="A25" s="45"/>
      <c r="B25" s="44" t="s">
        <v>244</v>
      </c>
      <c r="C25" s="41">
        <f>SUM('4.TL repayment sch'!E10:E21)</f>
        <v>1100071.8764585776</v>
      </c>
      <c r="D25" s="41">
        <f>SUM('4.TL repayment sch'!E22:E33)</f>
        <v>2389350.3559704595</v>
      </c>
      <c r="E25" s="41">
        <f>SUM('4.TL repayment sch'!E34:E45)</f>
        <v>2665843.1984259798</v>
      </c>
      <c r="F25" s="41">
        <f>SUM('4.TL repayment sch'!E46:E57)</f>
        <v>2974331.4708267604</v>
      </c>
      <c r="G25" s="41">
        <f>SUM('4.TL repayment sch'!E58:E69)</f>
        <v>3318517.6470896294</v>
      </c>
      <c r="H25" s="41">
        <f>SUM('4.TL repayment sch'!E70:E81)</f>
        <v>3702532.6471041203</v>
      </c>
      <c r="I25" s="41">
        <f>SUM('4.TL repayment sch'!E82:E93)</f>
        <v>4130985.4160017921</v>
      </c>
    </row>
    <row r="26" spans="1:9">
      <c r="A26" s="45"/>
      <c r="B26" s="44" t="s">
        <v>245</v>
      </c>
      <c r="C26" s="41">
        <f>SUM('4.TL repayment sch'!D10:D21)</f>
        <v>575789.70775695064</v>
      </c>
      <c r="D26" s="41">
        <f>SUM('4.TL repayment sch'!D22:D33)</f>
        <v>361641.48896059697</v>
      </c>
      <c r="E26" s="41">
        <f>SUM('4.TL repayment sch'!D34:D45)</f>
        <v>85148.646505076395</v>
      </c>
      <c r="F26" s="41">
        <f>SUM('4.TL repayment sch'!D46:D57)</f>
        <v>-223339.62589570353</v>
      </c>
      <c r="G26" s="41">
        <f>SUM('4.TL repayment sch'!D58:D69)</f>
        <v>-567525.80215857376</v>
      </c>
      <c r="H26" s="41">
        <f>SUM('4.TL repayment sch'!D70:D81)</f>
        <v>-951540.80217306374</v>
      </c>
      <c r="I26" s="41">
        <f>SUM('4.TL repayment sch'!D82:D93)</f>
        <v>-1379993.5710707358</v>
      </c>
    </row>
    <row r="27" spans="1:9">
      <c r="A27" s="45"/>
      <c r="B27" s="44" t="s">
        <v>246</v>
      </c>
      <c r="C27" s="41">
        <f t="shared" ref="C27:I27" si="1">C11</f>
        <v>962587.28047972592</v>
      </c>
      <c r="D27" s="41">
        <f t="shared" si="1"/>
        <v>1482034.5777400113</v>
      </c>
      <c r="E27" s="41">
        <f t="shared" si="1"/>
        <v>1676569.0586143869</v>
      </c>
      <c r="F27" s="41">
        <f t="shared" si="1"/>
        <v>1887204.2638715766</v>
      </c>
      <c r="G27" s="41">
        <f t="shared" si="1"/>
        <v>2114681.5306791821</v>
      </c>
      <c r="H27" s="41">
        <f t="shared" si="1"/>
        <v>2360204.3713845816</v>
      </c>
      <c r="I27" s="41">
        <f t="shared" si="1"/>
        <v>2624992.7923338232</v>
      </c>
    </row>
    <row r="28" spans="1:9">
      <c r="A28" s="45"/>
      <c r="B28" s="44" t="s">
        <v>247</v>
      </c>
      <c r="C28" s="49">
        <f>C27*12%</f>
        <v>115510.47365756711</v>
      </c>
      <c r="D28" s="49">
        <f t="shared" ref="D28:G28" si="2">D27*12%</f>
        <v>177844.14932880134</v>
      </c>
      <c r="E28" s="49">
        <f t="shared" si="2"/>
        <v>201188.28703372643</v>
      </c>
      <c r="F28" s="49">
        <f t="shared" si="2"/>
        <v>226464.5116645892</v>
      </c>
      <c r="G28" s="49">
        <f t="shared" si="2"/>
        <v>253761.78368150184</v>
      </c>
      <c r="H28" s="49">
        <f t="shared" ref="H28:I28" si="3">H27*12%</f>
        <v>283224.5245661498</v>
      </c>
      <c r="I28" s="49">
        <f t="shared" si="3"/>
        <v>314999.13508005877</v>
      </c>
    </row>
    <row r="29" spans="1:9">
      <c r="A29" s="40">
        <v>4</v>
      </c>
      <c r="B29" s="40" t="s">
        <v>248</v>
      </c>
      <c r="C29" s="41">
        <f>'6.Cons Profit &amp; Loss'!B50</f>
        <v>72051.968751225068</v>
      </c>
      <c r="D29" s="41">
        <f>'6.Cons Profit &amp; Loss'!C50</f>
        <v>353755.62644470215</v>
      </c>
      <c r="E29" s="41">
        <f>'6.Cons Profit &amp; Loss'!D50</f>
        <v>617684.41306042799</v>
      </c>
      <c r="F29" s="41">
        <f>'6.Cons Profit &amp; Loss'!E50</f>
        <v>893521.6798482365</v>
      </c>
      <c r="G29" s="41">
        <f>'6.Cons Profit &amp; Loss'!F50</f>
        <v>1182152.8090900267</v>
      </c>
      <c r="H29" s="41">
        <f>'6.Cons Profit &amp; Loss'!G50</f>
        <v>1489569.8570509146</v>
      </c>
      <c r="I29" s="41">
        <f>'6.Cons Profit &amp; Loss'!H50</f>
        <v>1813527.6951884842</v>
      </c>
    </row>
    <row r="30" spans="1:9">
      <c r="A30" s="40"/>
      <c r="B30" s="40" t="s">
        <v>249</v>
      </c>
      <c r="C30" s="50">
        <f t="shared" ref="C30:I30" si="4">SUM(C15:C29)</f>
        <v>38702332.883954048</v>
      </c>
      <c r="D30" s="50">
        <f t="shared" si="4"/>
        <v>28229164.729231324</v>
      </c>
      <c r="E30" s="50">
        <f t="shared" si="4"/>
        <v>31512839.082777899</v>
      </c>
      <c r="F30" s="50">
        <f t="shared" si="4"/>
        <v>35047980.076313503</v>
      </c>
      <c r="G30" s="50">
        <f t="shared" si="4"/>
        <v>38851451.257227689</v>
      </c>
      <c r="H30" s="50">
        <f t="shared" si="4"/>
        <v>42946701.456471294</v>
      </c>
      <c r="I30" s="50">
        <f t="shared" si="4"/>
        <v>47349979.99451182</v>
      </c>
    </row>
    <row r="31" spans="1:9">
      <c r="A31" s="40"/>
      <c r="B31" s="40" t="s">
        <v>250</v>
      </c>
      <c r="C31" s="50">
        <f t="shared" ref="C31:I31" si="5">C12-C30</f>
        <v>1180232.3615256846</v>
      </c>
      <c r="D31" s="50">
        <f t="shared" si="5"/>
        <v>404545.18333369121</v>
      </c>
      <c r="E31" s="50">
        <f t="shared" si="5"/>
        <v>634489.68764024228</v>
      </c>
      <c r="F31" s="50">
        <f t="shared" si="5"/>
        <v>902284.12570139021</v>
      </c>
      <c r="G31" s="50">
        <f t="shared" si="5"/>
        <v>1200860.47128883</v>
      </c>
      <c r="H31" s="50">
        <f t="shared" si="5"/>
        <v>1528416.1860686839</v>
      </c>
      <c r="I31" s="50">
        <f t="shared" si="5"/>
        <v>1890093.3741326705</v>
      </c>
    </row>
    <row r="32" spans="1:9">
      <c r="A32" s="48"/>
      <c r="B32" s="44" t="s">
        <v>251</v>
      </c>
      <c r="C32" s="44"/>
      <c r="D32" s="51">
        <f t="shared" ref="D32:I32" si="6">C33</f>
        <v>1180232.3615256846</v>
      </c>
      <c r="E32" s="51">
        <f t="shared" si="6"/>
        <v>1584777.5448593758</v>
      </c>
      <c r="F32" s="51">
        <f t="shared" si="6"/>
        <v>2219267.2324996181</v>
      </c>
      <c r="G32" s="51">
        <f t="shared" si="6"/>
        <v>3121551.3582010083</v>
      </c>
      <c r="H32" s="51">
        <f t="shared" si="6"/>
        <v>4322411.8294898383</v>
      </c>
      <c r="I32" s="51">
        <f t="shared" si="6"/>
        <v>5850828.0155585222</v>
      </c>
    </row>
    <row r="33" spans="1:10">
      <c r="A33" s="40"/>
      <c r="B33" s="52" t="s">
        <v>252</v>
      </c>
      <c r="C33" s="50">
        <f t="shared" ref="C33:I33" si="7">C31+C32</f>
        <v>1180232.3615256846</v>
      </c>
      <c r="D33" s="50">
        <f t="shared" si="7"/>
        <v>1584777.5448593758</v>
      </c>
      <c r="E33" s="50">
        <f t="shared" si="7"/>
        <v>2219267.2324996181</v>
      </c>
      <c r="F33" s="50">
        <f t="shared" si="7"/>
        <v>3121551.3582010083</v>
      </c>
      <c r="G33" s="50">
        <f t="shared" si="7"/>
        <v>4322411.8294898383</v>
      </c>
      <c r="H33" s="50">
        <f t="shared" si="7"/>
        <v>5850828.0155585222</v>
      </c>
      <c r="I33" s="50">
        <f t="shared" si="7"/>
        <v>7740921.3896911927</v>
      </c>
    </row>
    <row r="35" spans="1:10" ht="39.950000000000003" customHeight="1">
      <c r="A35" s="457" t="s">
        <v>422</v>
      </c>
      <c r="B35" s="457"/>
      <c r="C35" s="457"/>
      <c r="D35" s="457"/>
      <c r="E35" s="457"/>
      <c r="F35" s="457"/>
      <c r="G35" s="457"/>
      <c r="H35" s="457"/>
      <c r="I35" s="457"/>
      <c r="J35" s="457"/>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2023-06-12T11:45:33Z</dcterms:modified>
</cp:coreProperties>
</file>